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tabRatio="810" activeTab="1"/>
  </bookViews>
  <sheets>
    <sheet name="Team list - 2003" sheetId="1" r:id="rId1"/>
    <sheet name="Results" sheetId="2" r:id="rId2"/>
    <sheet name="Dynamic Award" sheetId="3" r:id="rId3"/>
    <sheet name="Cost" sheetId="4" r:id="rId4"/>
    <sheet name="Presentation" sheetId="5" r:id="rId5"/>
    <sheet name="Design" sheetId="6" r:id="rId6"/>
    <sheet name="Skid pad" sheetId="7" r:id="rId7"/>
    <sheet name="Accel." sheetId="8" r:id="rId8"/>
    <sheet name="Auto cross" sheetId="9" r:id="rId9"/>
    <sheet name="Endurance (1)" sheetId="10" r:id="rId10"/>
    <sheet name="Endurance (2)" sheetId="11" r:id="rId11"/>
    <sheet name="Fuel" sheetId="12" r:id="rId12"/>
    <sheet name="End - Fuel (overall)" sheetId="13" r:id="rId13"/>
  </sheets>
  <externalReferences>
    <externalReference r:id="rId16"/>
  </externalReferences>
  <definedNames>
    <definedName name="DOO" localSheetId="10">'Endurance (2)'!$D$30</definedName>
    <definedName name="DOO">'Endurance (1)'!$D$30</definedName>
    <definedName name="FYF" localSheetId="10">'Endurance (2)'!$D$34</definedName>
    <definedName name="FYF">'Endurance (1)'!$D$34</definedName>
    <definedName name="OC" localSheetId="10">'Endurance (2)'!$D$31</definedName>
    <definedName name="OC">'Endurance (1)'!$D$31</definedName>
    <definedName name="OD" localSheetId="10">'Endurance (2)'!$D$35</definedName>
    <definedName name="OD">'Endurance (1)'!$D$35</definedName>
    <definedName name="OO" localSheetId="10">'Endurance (2)'!$D$32</definedName>
    <definedName name="OO">'Endurance (1)'!$D$32</definedName>
    <definedName name="PFE" localSheetId="10">'Endurance (2)'!$D$33</definedName>
    <definedName name="PFE">'Endurance (1)'!$D$33</definedName>
    <definedName name="_xlnm.Print_Area" localSheetId="7">'Accel.'!$A$1:$R$30</definedName>
    <definedName name="_xlnm.Print_Area" localSheetId="8">'Auto cross'!$A$1:$W$54</definedName>
    <definedName name="_xlnm.Print_Area" localSheetId="3">'Cost'!$B$1:$K$27</definedName>
    <definedName name="_xlnm.Print_Area" localSheetId="2">'Dynamic Award'!$A$1:$I$27</definedName>
    <definedName name="_xlnm.Print_Area" localSheetId="12">'End - Fuel (overall)'!$B$1:$L$27</definedName>
    <definedName name="_xlnm.Print_Area" localSheetId="9">'Endurance (1)'!$A$1:$T$36</definedName>
    <definedName name="_xlnm.Print_Area" localSheetId="10">'Endurance (2)'!$A$1:$T$37</definedName>
    <definedName name="_xlnm.Print_Area" localSheetId="11">'Fuel'!$A$1:$H$32</definedName>
    <definedName name="_xlnm.Print_Area" localSheetId="1">'Results'!$A$1:$M$58</definedName>
    <definedName name="_xlnm.Print_Area" localSheetId="6">'Skid pad'!$A$1:$V$27</definedName>
    <definedName name="_xlnm.Print_Area" localSheetId="0">'Team list - 2003'!$A$1:$D$27</definedName>
    <definedName name="Time_oz" localSheetId="2">'[1]Endurance (1)'!#REF!</definedName>
    <definedName name="Time_oz" localSheetId="10">'Endurance (2)'!#REF!</definedName>
    <definedName name="Time_oz">'Endurance (1)'!#REF!</definedName>
    <definedName name="Tmax" localSheetId="10">'Endurance (2)'!$R$31</definedName>
    <definedName name="Tmax">'Endurance (1)'!$R$31</definedName>
    <definedName name="Tmax_oz" localSheetId="2">'[1]Endurance (1)'!#REF!</definedName>
    <definedName name="Tmax_oz" localSheetId="10">'Endurance (2)'!#REF!</definedName>
    <definedName name="Tmax_oz">'Endurance (1)'!#REF!</definedName>
    <definedName name="Tmin" localSheetId="10">'Endurance (2)'!$R$30</definedName>
    <definedName name="Tmin">'Endurance (1)'!$R$30</definedName>
  </definedNames>
  <calcPr fullCalcOnLoad="1"/>
</workbook>
</file>

<file path=xl/sharedStrings.xml><?xml version="1.0" encoding="utf-8"?>
<sst xmlns="http://schemas.openxmlformats.org/spreadsheetml/2006/main" count="552" uniqueCount="196">
  <si>
    <t>Overall</t>
  </si>
  <si>
    <t xml:space="preserve">Average </t>
  </si>
  <si>
    <t xml:space="preserve">Final </t>
  </si>
  <si>
    <t>Event</t>
  </si>
  <si>
    <t>Score</t>
  </si>
  <si>
    <t>Placing</t>
  </si>
  <si>
    <t>Car</t>
  </si>
  <si>
    <t>Number</t>
  </si>
  <si>
    <t>Overall maximum score</t>
  </si>
  <si>
    <t>Jugding Scores (350)</t>
  </si>
  <si>
    <t>Lap Times (sec)</t>
  </si>
  <si>
    <t>Penalties</t>
  </si>
  <si>
    <t>Time</t>
  </si>
  <si>
    <t>DOO</t>
  </si>
  <si>
    <t>OC</t>
  </si>
  <si>
    <t>PFE</t>
  </si>
  <si>
    <t>FYF</t>
  </si>
  <si>
    <t>OD</t>
  </si>
  <si>
    <t>VTVC</t>
  </si>
  <si>
    <t>(SEC)</t>
  </si>
  <si>
    <t>Overall Best Time</t>
  </si>
  <si>
    <t>133% Overall Best Time</t>
  </si>
  <si>
    <t>Key</t>
  </si>
  <si>
    <t>Best</t>
  </si>
  <si>
    <t>Driver 1(1)</t>
  </si>
  <si>
    <t>Driver 1(2)</t>
  </si>
  <si>
    <t>Driver 2(1)</t>
  </si>
  <si>
    <t>Driver 2(2)</t>
  </si>
  <si>
    <t xml:space="preserve">Lap </t>
  </si>
  <si>
    <t>OFF</t>
  </si>
  <si>
    <t>Lap</t>
  </si>
  <si>
    <t>125% Overall Best Time</t>
  </si>
  <si>
    <t>Left</t>
  </si>
  <si>
    <t>Overall best time</t>
  </si>
  <si>
    <t>Driver 1</t>
  </si>
  <si>
    <t>Overall Best Volume</t>
  </si>
  <si>
    <t>Max Volume</t>
  </si>
  <si>
    <t>Design</t>
  </si>
  <si>
    <t xml:space="preserve">Cost </t>
  </si>
  <si>
    <t>Presentation</t>
  </si>
  <si>
    <t>Skid Pad</t>
  </si>
  <si>
    <t>Acceleration</t>
  </si>
  <si>
    <t>Autocross</t>
  </si>
  <si>
    <t>Endurance</t>
  </si>
  <si>
    <t>Total</t>
  </si>
  <si>
    <t>Deakin University</t>
  </si>
  <si>
    <t>Monash University</t>
  </si>
  <si>
    <t>University of Queensland</t>
  </si>
  <si>
    <t>University of Sydney</t>
  </si>
  <si>
    <t>University of Western Australia</t>
  </si>
  <si>
    <t>University of Wollongong</t>
  </si>
  <si>
    <t>D (20)</t>
  </si>
  <si>
    <t>Adjusted</t>
  </si>
  <si>
    <t>cost</t>
  </si>
  <si>
    <t>Jugding Scores (100)</t>
  </si>
  <si>
    <t>Cone Down Or Out</t>
  </si>
  <si>
    <t>Off Course</t>
  </si>
  <si>
    <t>Poor Fuel Economy</t>
  </si>
  <si>
    <t>Failure to Yield at Flag</t>
  </si>
  <si>
    <t>Over Driving</t>
  </si>
  <si>
    <t>Vehicle To Vehicle Contact</t>
  </si>
  <si>
    <t>(DIS)</t>
  </si>
  <si>
    <t>OO</t>
  </si>
  <si>
    <t>Out of Order running</t>
  </si>
  <si>
    <t>Description</t>
  </si>
  <si>
    <t>Penalty (sec)</t>
  </si>
  <si>
    <t>Dis</t>
  </si>
  <si>
    <t>Rank</t>
  </si>
  <si>
    <t>Minutes</t>
  </si>
  <si>
    <t>Seconds</t>
  </si>
  <si>
    <t>Heat 1</t>
  </si>
  <si>
    <t>Heat 2</t>
  </si>
  <si>
    <t>time (s)</t>
  </si>
  <si>
    <t>total</t>
  </si>
  <si>
    <t>rank</t>
  </si>
  <si>
    <t>score</t>
  </si>
  <si>
    <t>overall</t>
  </si>
  <si>
    <t>University of Adelaide</t>
  </si>
  <si>
    <t>Jugding Scores (75)</t>
  </si>
  <si>
    <t>A (30)</t>
  </si>
  <si>
    <t>B (30)</t>
  </si>
  <si>
    <t>C (20)</t>
  </si>
  <si>
    <t>(100)</t>
  </si>
  <si>
    <t>Driver 2</t>
  </si>
  <si>
    <t>Run 1</t>
  </si>
  <si>
    <t>Run 2</t>
  </si>
  <si>
    <t>University of Melbourne</t>
  </si>
  <si>
    <t>University of Technology, Sydney</t>
  </si>
  <si>
    <t>Maximum</t>
  </si>
  <si>
    <t>Result</t>
  </si>
  <si>
    <t>Volume</t>
  </si>
  <si>
    <t>Fuel econ.</t>
  </si>
  <si>
    <t>Driver time calculation</t>
  </si>
  <si>
    <t>University</t>
  </si>
  <si>
    <t>Max allowable cost (US)</t>
  </si>
  <si>
    <t>Conversion factor</t>
  </si>
  <si>
    <t>Max allowable cost</t>
  </si>
  <si>
    <t>Minimum Overall</t>
  </si>
  <si>
    <t>(75)</t>
  </si>
  <si>
    <t>(150)</t>
  </si>
  <si>
    <t>(50)</t>
  </si>
  <si>
    <t>(400)</t>
  </si>
  <si>
    <t>Lateral acceleration time</t>
  </si>
  <si>
    <t>Max Acc. Time</t>
  </si>
  <si>
    <t>driver 2</t>
  </si>
  <si>
    <t>driver 1</t>
  </si>
  <si>
    <t>Car Number</t>
  </si>
  <si>
    <t>Swinburne University of Technology</t>
  </si>
  <si>
    <t>Rochester Institute of Technology, USA</t>
  </si>
  <si>
    <t>Australian National University &amp; Canberra Institute of Technology</t>
  </si>
  <si>
    <t>The University of Adelaide</t>
  </si>
  <si>
    <t>Auburn University, USA</t>
  </si>
  <si>
    <t>Curtin University of Technology</t>
  </si>
  <si>
    <t>University of Braunschweig, GERMANY</t>
  </si>
  <si>
    <t xml:space="preserve">Tokyo Denki University, JAPAN </t>
  </si>
  <si>
    <t>Georgia Institute of Technology, USA</t>
  </si>
  <si>
    <t xml:space="preserve">Chalmers University, SWEDEN </t>
  </si>
  <si>
    <t>University of Newcastle</t>
  </si>
  <si>
    <t>RMIT University</t>
  </si>
  <si>
    <t>University of NSW</t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</si>
  <si>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6"/>
        <rFont val="Arial"/>
        <family val="2"/>
      </rPr>
      <t>2003</t>
    </r>
    <r>
      <rPr>
        <b/>
        <sz val="36"/>
        <rFont val="Arial"/>
        <family val="2"/>
      </rPr>
      <t xml:space="preserve">    Skid Pad event</t>
    </r>
  </si>
  <si>
    <t>University   -   2003</t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</si>
  <si>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2"/>
        <rFont val="Arial"/>
        <family val="2"/>
      </rPr>
      <t>2003</t>
    </r>
    <r>
      <rPr>
        <b/>
        <sz val="36"/>
        <rFont val="Arial"/>
        <family val="2"/>
      </rPr>
      <t xml:space="preserve">    Cost event</t>
    </r>
  </si>
  <si>
    <r>
      <t xml:space="preserve">Formula </t>
    </r>
    <r>
      <rPr>
        <b/>
        <i/>
        <sz val="32.4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2"/>
        <rFont val="Arial"/>
        <family val="2"/>
      </rPr>
      <t>2003</t>
    </r>
    <r>
      <rPr>
        <b/>
        <sz val="36"/>
        <rFont val="Arial"/>
        <family val="2"/>
      </rPr>
      <t xml:space="preserve">    Presentation Event</t>
    </r>
  </si>
  <si>
    <r>
      <t xml:space="preserve">Formula </t>
    </r>
    <r>
      <rPr>
        <b/>
        <i/>
        <sz val="26"/>
        <rFont val="Arial"/>
        <family val="2"/>
      </rPr>
      <t>SAE</t>
    </r>
    <r>
      <rPr>
        <b/>
        <sz val="26"/>
        <rFont val="Arial"/>
        <family val="2"/>
      </rPr>
      <t xml:space="preserve"> </t>
    </r>
    <r>
      <rPr>
        <b/>
        <sz val="12"/>
        <rFont val="Arial"/>
        <family val="2"/>
      </rPr>
      <t>2003</t>
    </r>
    <r>
      <rPr>
        <b/>
        <sz val="26"/>
        <rFont val="Arial"/>
        <family val="2"/>
      </rPr>
      <t xml:space="preserve">    Design event</t>
    </r>
  </si>
  <si>
    <r>
      <t xml:space="preserve">Formula </t>
    </r>
    <r>
      <rPr>
        <b/>
        <i/>
        <sz val="28"/>
        <rFont val="Arial"/>
        <family val="2"/>
      </rPr>
      <t>SAE</t>
    </r>
    <r>
      <rPr>
        <b/>
        <sz val="28"/>
        <rFont val="Arial"/>
        <family val="2"/>
      </rPr>
      <t xml:space="preserve"> </t>
    </r>
    <r>
      <rPr>
        <b/>
        <sz val="16"/>
        <rFont val="Arial"/>
        <family val="2"/>
      </rPr>
      <t>2003</t>
    </r>
    <r>
      <rPr>
        <b/>
        <sz val="28"/>
        <rFont val="Arial"/>
        <family val="2"/>
      </rPr>
      <t xml:space="preserve">    Acceleration event</t>
    </r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</si>
  <si>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6"/>
        <rFont val="Arial"/>
        <family val="2"/>
      </rPr>
      <t>2003</t>
    </r>
    <r>
      <rPr>
        <b/>
        <sz val="36"/>
        <rFont val="Arial"/>
        <family val="2"/>
      </rPr>
      <t xml:space="preserve">    Autocross event</t>
    </r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</si>
  <si>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6"/>
        <rFont val="Arial"/>
        <family val="2"/>
      </rPr>
      <t>2003</t>
    </r>
    <r>
      <rPr>
        <b/>
        <sz val="36"/>
        <rFont val="Arial"/>
        <family val="2"/>
      </rPr>
      <t xml:space="preserve">    Endurance event</t>
    </r>
    <r>
      <rPr>
        <b/>
        <sz val="14"/>
        <rFont val="Arial"/>
        <family val="2"/>
      </rPr>
      <t xml:space="preserve"> (Heat 1)</t>
    </r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</si>
  <si>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6"/>
        <rFont val="Arial"/>
        <family val="2"/>
      </rPr>
      <t>2003</t>
    </r>
    <r>
      <rPr>
        <b/>
        <sz val="36"/>
        <rFont val="Arial"/>
        <family val="2"/>
      </rPr>
      <t xml:space="preserve">    Endurance event</t>
    </r>
    <r>
      <rPr>
        <b/>
        <sz val="14"/>
        <rFont val="Arial"/>
        <family val="2"/>
      </rPr>
      <t xml:space="preserve"> (Heat 2)</t>
    </r>
  </si>
  <si>
    <r>
      <t xml:space="preserve">Formula </t>
    </r>
    <r>
      <rPr>
        <b/>
        <i/>
        <sz val="26"/>
        <rFont val="Arial"/>
        <family val="2"/>
      </rPr>
      <t>SAE</t>
    </r>
    <r>
      <rPr>
        <b/>
        <sz val="26"/>
        <rFont val="Arial"/>
        <family val="2"/>
      </rPr>
      <t xml:space="preserve"> </t>
    </r>
    <r>
      <rPr>
        <b/>
        <sz val="12"/>
        <rFont val="Arial"/>
        <family val="2"/>
      </rPr>
      <t>2003</t>
    </r>
    <r>
      <rPr>
        <b/>
        <sz val="26"/>
        <rFont val="Arial"/>
        <family val="2"/>
      </rPr>
      <t xml:space="preserve">    Endurance &amp; Fuel economy events (Overall)</t>
    </r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</si>
  <si>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8"/>
        <rFont val="Arial"/>
        <family val="2"/>
      </rPr>
      <t>2003</t>
    </r>
    <r>
      <rPr>
        <b/>
        <sz val="36"/>
        <rFont val="Arial"/>
        <family val="2"/>
      </rPr>
      <t xml:space="preserve">    Overall placings</t>
    </r>
  </si>
  <si>
    <t>( /21)</t>
  </si>
  <si>
    <t>By Rank</t>
  </si>
  <si>
    <t>Sort on Day post Autocross</t>
  </si>
  <si>
    <r>
      <t xml:space="preserve">Formula </t>
    </r>
    <r>
      <rPr>
        <b/>
        <i/>
        <sz val="18"/>
        <rFont val="Arial"/>
        <family val="2"/>
      </rPr>
      <t>SAE</t>
    </r>
    <r>
      <rPr>
        <b/>
        <sz val="18"/>
        <rFont val="Arial"/>
        <family val="2"/>
      </rPr>
      <t xml:space="preserve"> 2003 Endurance start order - sorted</t>
    </r>
  </si>
  <si>
    <r>
      <t xml:space="preserve">Formula </t>
    </r>
    <r>
      <rPr>
        <b/>
        <i/>
        <sz val="18"/>
        <rFont val="Arial"/>
        <family val="2"/>
      </rPr>
      <t>SAE</t>
    </r>
    <r>
      <rPr>
        <b/>
        <sz val="18"/>
        <rFont val="Arial"/>
        <family val="2"/>
      </rPr>
      <t xml:space="preserve"> 2003 Endurance start order</t>
    </r>
  </si>
  <si>
    <t>List by Rank only</t>
  </si>
  <si>
    <r>
      <t xml:space="preserve">Formula </t>
    </r>
    <r>
      <rPr>
        <b/>
        <i/>
        <sz val="26"/>
        <rFont val="Arial"/>
        <family val="2"/>
      </rPr>
      <t>SAE</t>
    </r>
    <r>
      <rPr>
        <b/>
        <sz val="26"/>
        <rFont val="Arial"/>
        <family val="2"/>
      </rPr>
      <t xml:space="preserve"> </t>
    </r>
    <r>
      <rPr>
        <b/>
        <sz val="12"/>
        <rFont val="Arial"/>
        <family val="2"/>
      </rPr>
      <t>2003</t>
    </r>
    <r>
      <rPr>
        <b/>
        <sz val="26"/>
        <rFont val="Arial"/>
        <family val="2"/>
      </rPr>
      <t xml:space="preserve">    Fuel Economy Event</t>
    </r>
  </si>
  <si>
    <r>
      <t xml:space="preserve">Formula </t>
    </r>
    <r>
      <rPr>
        <b/>
        <i/>
        <sz val="36"/>
        <rFont val="Arial"/>
        <family val="2"/>
      </rPr>
      <t>SAE</t>
    </r>
    <r>
      <rPr>
        <b/>
        <sz val="36"/>
        <rFont val="Arial"/>
        <family val="2"/>
      </rPr>
      <t xml:space="preserve"> </t>
    </r>
    <r>
      <rPr>
        <b/>
        <sz val="18"/>
        <rFont val="Arial"/>
        <family val="2"/>
      </rPr>
      <t>2003</t>
    </r>
    <r>
      <rPr>
        <b/>
        <sz val="36"/>
        <rFont val="Arial"/>
        <family val="2"/>
      </rPr>
      <t xml:space="preserve">    Overall results</t>
    </r>
  </si>
  <si>
    <t>(US$)</t>
  </si>
  <si>
    <t>Run 3</t>
  </si>
  <si>
    <t>Run 4</t>
  </si>
  <si>
    <t>Minimum excluding Uni of Newcastle</t>
  </si>
  <si>
    <t>Fastest for team</t>
  </si>
  <si>
    <t>Rank by team (fastest)</t>
  </si>
  <si>
    <t>Did not do run</t>
  </si>
  <si>
    <t>PROVISIONAL</t>
  </si>
  <si>
    <t>Right</t>
  </si>
  <si>
    <t>R1</t>
  </si>
  <si>
    <t>R2</t>
  </si>
  <si>
    <t>4.4985Q</t>
  </si>
  <si>
    <t>R3</t>
  </si>
  <si>
    <t>4.1347Q</t>
  </si>
  <si>
    <t>4.7993Q</t>
  </si>
  <si>
    <t>4.2296Q</t>
  </si>
  <si>
    <t>R4</t>
  </si>
  <si>
    <t>4.1244Q</t>
  </si>
  <si>
    <t>4.2197Q</t>
  </si>
  <si>
    <t>4.4485Q</t>
  </si>
  <si>
    <t>5.1239Q</t>
  </si>
  <si>
    <t>4.1456Q</t>
  </si>
  <si>
    <t>4.5666Q</t>
  </si>
  <si>
    <t>Race time data</t>
  </si>
  <si>
    <t>University Of Sydney</t>
  </si>
  <si>
    <t>Rochester Institute of Technology</t>
  </si>
  <si>
    <t>University of Technology Sydney</t>
  </si>
  <si>
    <t>Auburn University</t>
  </si>
  <si>
    <t>Tokyo Denki University</t>
  </si>
  <si>
    <t>Georgia Institute of Technology</t>
  </si>
  <si>
    <t>Chalmers University of Technology</t>
  </si>
  <si>
    <t>University Of Queensland</t>
  </si>
  <si>
    <t>University Of NSW</t>
  </si>
  <si>
    <t>54.2581Q</t>
  </si>
  <si>
    <t>49.0314Q</t>
  </si>
  <si>
    <t>47.6352Q</t>
  </si>
  <si>
    <t>First</t>
  </si>
  <si>
    <t>Second</t>
  </si>
  <si>
    <t>Third</t>
  </si>
  <si>
    <t>Formula SAE 2003    Dynamic Award</t>
  </si>
  <si>
    <t>Sum</t>
  </si>
  <si>
    <t>m</t>
  </si>
  <si>
    <t>laps</t>
  </si>
  <si>
    <t>km travelled</t>
  </si>
  <si>
    <t>Poor fuel economy Calcs</t>
  </si>
  <si>
    <t>Max litres allowed for event</t>
  </si>
  <si>
    <t>litres / km allowed (26l / 100km)</t>
  </si>
  <si>
    <t>Allowed litres per this event</t>
  </si>
  <si>
    <t>/ FUEL</t>
  </si>
  <si>
    <t>DNF</t>
  </si>
  <si>
    <t>Enduro</t>
  </si>
  <si>
    <t>(Max)</t>
  </si>
  <si>
    <t>Max - Enduro score - both runs</t>
  </si>
  <si>
    <t>(corrected)</t>
  </si>
  <si>
    <t>Lap times D2</t>
  </si>
  <si>
    <t>Lap times D1</t>
  </si>
  <si>
    <t>5.5614 litres is Vmax for 21390m track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</si>
</sst>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$&quot;#,##0"/>
    <numFmt numFmtId="179" formatCode="hh\.mm"/>
    <numFmt numFmtId="180" formatCode="[h]:mm:ss.00"/>
    <numFmt numFmtId="181" formatCode="ss.00"/>
    <numFmt numFmtId="182" formatCode="0.00000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i/>
      <sz val="36"/>
      <name val="Arial"/>
      <family val="2"/>
    </font>
    <font>
      <b/>
      <i/>
      <sz val="32.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26"/>
      <color indexed="10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hair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78" fontId="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7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 quotePrefix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179" fontId="0" fillId="0" borderId="0" xfId="0" applyNumberFormat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172" fontId="0" fillId="0" borderId="0" xfId="0" applyNumberFormat="1" applyBorder="1" applyAlignment="1" quotePrefix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178" fontId="0" fillId="3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4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8" fontId="0" fillId="0" borderId="0" xfId="0" applyNumberFormat="1" applyFill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2" borderId="5" xfId="0" applyFont="1" applyFill="1" applyBorder="1" applyAlignment="1" quotePrefix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8" fillId="0" borderId="13" xfId="0" applyFont="1" applyBorder="1" applyAlignment="1" quotePrefix="1">
      <alignment/>
    </xf>
    <xf numFmtId="0" fontId="8" fillId="0" borderId="16" xfId="0" applyFont="1" applyBorder="1" applyAlignment="1" quotePrefix="1">
      <alignment/>
    </xf>
    <xf numFmtId="0" fontId="8" fillId="0" borderId="17" xfId="0" applyFont="1" applyBorder="1" applyAlignment="1" quotePrefix="1">
      <alignment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0" fillId="3" borderId="25" xfId="0" applyNumberForma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2" fontId="0" fillId="3" borderId="26" xfId="0" applyNumberFormat="1" applyFill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2" fontId="0" fillId="3" borderId="26" xfId="0" applyNumberFormat="1" applyFill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2" fontId="0" fillId="3" borderId="27" xfId="0" applyNumberFormat="1" applyFill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78" fontId="0" fillId="3" borderId="25" xfId="0" applyNumberFormat="1" applyFill="1" applyBorder="1" applyAlignment="1">
      <alignment horizontal="center"/>
    </xf>
    <xf numFmtId="172" fontId="0" fillId="0" borderId="25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78" fontId="0" fillId="3" borderId="26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78" fontId="0" fillId="3" borderId="27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0" fontId="0" fillId="3" borderId="26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3" borderId="26" xfId="0" applyFont="1" applyFill="1" applyBorder="1" applyAlignment="1" quotePrefix="1">
      <alignment horizontal="center"/>
    </xf>
    <xf numFmtId="0" fontId="0" fillId="3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2" fontId="0" fillId="0" borderId="33" xfId="0" applyNumberFormat="1" applyFill="1" applyBorder="1" applyAlignment="1">
      <alignment horizontal="center"/>
    </xf>
    <xf numFmtId="172" fontId="0" fillId="3" borderId="29" xfId="0" applyNumberFormat="1" applyFill="1" applyBorder="1" applyAlignment="1">
      <alignment horizontal="center"/>
    </xf>
    <xf numFmtId="172" fontId="0" fillId="3" borderId="31" xfId="0" applyNumberFormat="1" applyFill="1" applyBorder="1" applyAlignment="1">
      <alignment horizontal="center"/>
    </xf>
    <xf numFmtId="172" fontId="0" fillId="3" borderId="31" xfId="0" applyNumberFormat="1" applyFill="1" applyBorder="1" applyAlignment="1">
      <alignment horizontal="center" vertical="center"/>
    </xf>
    <xf numFmtId="172" fontId="0" fillId="3" borderId="34" xfId="0" applyNumberFormat="1" applyFill="1" applyBorder="1" applyAlignment="1">
      <alignment horizontal="center"/>
    </xf>
    <xf numFmtId="172" fontId="0" fillId="3" borderId="35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172" fontId="0" fillId="0" borderId="28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172" fontId="0" fillId="0" borderId="30" xfId="0" applyNumberForma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172" fontId="0" fillId="0" borderId="3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1" fontId="0" fillId="0" borderId="36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8" fillId="4" borderId="13" xfId="0" applyFont="1" applyFill="1" applyBorder="1" applyAlignment="1" quotePrefix="1">
      <alignment/>
    </xf>
    <xf numFmtId="0" fontId="8" fillId="4" borderId="16" xfId="0" applyFont="1" applyFill="1" applyBorder="1" applyAlignment="1" quotePrefix="1">
      <alignment/>
    </xf>
    <xf numFmtId="0" fontId="8" fillId="4" borderId="17" xfId="0" applyFont="1" applyFill="1" applyBorder="1" applyAlignment="1" quotePrefix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2" fontId="0" fillId="0" borderId="31" xfId="0" applyNumberFormat="1" applyFill="1" applyBorder="1" applyAlignment="1">
      <alignment horizontal="center" vertical="center"/>
    </xf>
    <xf numFmtId="178" fontId="0" fillId="3" borderId="26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2" fontId="0" fillId="5" borderId="26" xfId="0" applyNumberForma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2" fontId="0" fillId="5" borderId="26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48" xfId="0" applyFill="1" applyBorder="1" applyAlignment="1">
      <alignment horizontal="center"/>
    </xf>
    <xf numFmtId="0" fontId="18" fillId="0" borderId="0" xfId="0" applyFont="1" applyAlignment="1">
      <alignment/>
    </xf>
    <xf numFmtId="0" fontId="0" fillId="5" borderId="0" xfId="0" applyFill="1" applyBorder="1" applyAlignment="1">
      <alignment vertical="center"/>
    </xf>
    <xf numFmtId="172" fontId="0" fillId="5" borderId="0" xfId="0" applyNumberFormat="1" applyFill="1" applyBorder="1" applyAlignment="1" quotePrefix="1">
      <alignment horizontal="center"/>
    </xf>
    <xf numFmtId="0" fontId="0" fillId="6" borderId="25" xfId="0" applyFill="1" applyBorder="1" applyAlignment="1">
      <alignment horizontal="center"/>
    </xf>
    <xf numFmtId="0" fontId="0" fillId="3" borderId="26" xfId="0" applyNumberFormat="1" applyFill="1" applyBorder="1" applyAlignment="1">
      <alignment horizontal="center"/>
    </xf>
    <xf numFmtId="0" fontId="0" fillId="5" borderId="26" xfId="0" applyNumberFormat="1" applyFill="1" applyBorder="1" applyAlignment="1">
      <alignment horizontal="center"/>
    </xf>
    <xf numFmtId="0" fontId="0" fillId="3" borderId="27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0" fillId="7" borderId="48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3" fillId="5" borderId="26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left" wrapText="1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8" borderId="26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vertical="center" wrapText="1"/>
    </xf>
    <xf numFmtId="0" fontId="0" fillId="8" borderId="26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2" fontId="0" fillId="8" borderId="26" xfId="0" applyNumberFormat="1" applyFill="1" applyBorder="1" applyAlignment="1">
      <alignment horizontal="center"/>
    </xf>
    <xf numFmtId="2" fontId="0" fillId="8" borderId="26" xfId="0" applyNumberForma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ill="1" applyAlignment="1">
      <alignment vertical="center"/>
    </xf>
    <xf numFmtId="0" fontId="0" fillId="8" borderId="26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3" fillId="8" borderId="30" xfId="0" applyFont="1" applyFill="1" applyBorder="1" applyAlignment="1">
      <alignment horizontal="left" vertical="center" wrapText="1"/>
    </xf>
    <xf numFmtId="0" fontId="0" fillId="3" borderId="49" xfId="0" applyNumberFormat="1" applyFill="1" applyBorder="1" applyAlignment="1">
      <alignment horizontal="center"/>
    </xf>
    <xf numFmtId="0" fontId="0" fillId="5" borderId="26" xfId="0" applyNumberForma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172" fontId="0" fillId="0" borderId="25" xfId="0" applyNumberFormat="1" applyFont="1" applyFill="1" applyBorder="1" applyAlignment="1">
      <alignment horizontal="center" wrapText="1"/>
    </xf>
    <xf numFmtId="172" fontId="0" fillId="0" borderId="26" xfId="0" applyNumberFormat="1" applyFont="1" applyFill="1" applyBorder="1" applyAlignment="1">
      <alignment horizontal="center" wrapText="1"/>
    </xf>
    <xf numFmtId="172" fontId="0" fillId="0" borderId="26" xfId="0" applyNumberFormat="1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0" xfId="0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aig%20Rundle\FormulaSAE\FSAE%202003~4%20Score%20sheet%20MASTER%206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ynamic Award"/>
      <sheetName val="Team list - 2003"/>
      <sheetName val="Cost"/>
      <sheetName val="Presentation"/>
      <sheetName val="Design"/>
      <sheetName val="Skid pad"/>
      <sheetName val="Accel."/>
      <sheetName val="Auto cross"/>
      <sheetName val="Endurance (1)"/>
      <sheetName val="Endurance (2)"/>
      <sheetName val="Fuel"/>
      <sheetName val="End - Fuel (overall)"/>
      <sheetName val="Results"/>
      <sheetName val="2002 Award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0" sqref="B10"/>
    </sheetView>
  </sheetViews>
  <sheetFormatPr defaultColWidth="9.140625" defaultRowHeight="12.75"/>
  <cols>
    <col min="1" max="1" width="10.00390625" style="55" bestFit="1" customWidth="1"/>
    <col min="2" max="2" width="55.8515625" style="0" bestFit="1" customWidth="1"/>
  </cols>
  <sheetData>
    <row r="1" spans="1:4" ht="12.75" customHeight="1">
      <c r="A1" s="375" t="s">
        <v>106</v>
      </c>
      <c r="B1" s="375" t="s">
        <v>121</v>
      </c>
      <c r="C1" s="85"/>
      <c r="D1" s="85"/>
    </row>
    <row r="2" spans="1:4" ht="12.75" customHeight="1">
      <c r="A2" s="376"/>
      <c r="B2" s="376"/>
      <c r="C2" s="85"/>
      <c r="D2" s="85"/>
    </row>
    <row r="3" spans="1:4" ht="12.75" customHeight="1">
      <c r="A3" s="376"/>
      <c r="B3" s="376"/>
      <c r="C3" s="85"/>
      <c r="D3" s="85"/>
    </row>
    <row r="4" spans="1:4" ht="13.5" customHeight="1" thickBot="1">
      <c r="A4" s="377"/>
      <c r="B4" s="377"/>
      <c r="C4" s="85"/>
      <c r="D4" s="85"/>
    </row>
    <row r="5" spans="1:3" ht="15">
      <c r="A5" s="157">
        <v>1</v>
      </c>
      <c r="B5" s="158" t="s">
        <v>50</v>
      </c>
      <c r="C5" s="69"/>
    </row>
    <row r="6" spans="1:3" ht="15">
      <c r="A6" s="159">
        <v>2</v>
      </c>
      <c r="B6" s="160" t="s">
        <v>49</v>
      </c>
      <c r="C6" s="69"/>
    </row>
    <row r="7" spans="1:3" ht="15">
      <c r="A7" s="159">
        <v>3</v>
      </c>
      <c r="B7" s="160" t="s">
        <v>48</v>
      </c>
      <c r="C7" s="69"/>
    </row>
    <row r="8" spans="1:3" ht="15">
      <c r="A8" s="159">
        <v>4</v>
      </c>
      <c r="B8" s="160" t="s">
        <v>107</v>
      </c>
      <c r="C8" s="69"/>
    </row>
    <row r="9" spans="1:3" ht="15">
      <c r="A9" s="159">
        <v>5</v>
      </c>
      <c r="B9" s="160" t="s">
        <v>108</v>
      </c>
      <c r="C9" s="69"/>
    </row>
    <row r="10" spans="1:3" ht="15">
      <c r="A10" s="159">
        <v>6</v>
      </c>
      <c r="B10" s="160" t="s">
        <v>109</v>
      </c>
      <c r="C10" s="69"/>
    </row>
    <row r="11" spans="1:3" ht="15">
      <c r="A11" s="159">
        <v>8</v>
      </c>
      <c r="B11" s="160" t="s">
        <v>87</v>
      </c>
      <c r="C11" s="69"/>
    </row>
    <row r="12" spans="1:3" ht="15">
      <c r="A12" s="159">
        <v>9</v>
      </c>
      <c r="B12" s="160" t="s">
        <v>110</v>
      </c>
      <c r="C12" s="69"/>
    </row>
    <row r="13" spans="1:3" ht="15">
      <c r="A13" s="159">
        <v>11</v>
      </c>
      <c r="B13" s="160" t="s">
        <v>111</v>
      </c>
      <c r="C13" s="69"/>
    </row>
    <row r="14" spans="1:3" ht="15">
      <c r="A14" s="159">
        <v>14</v>
      </c>
      <c r="B14" s="160" t="s">
        <v>112</v>
      </c>
      <c r="C14" s="69"/>
    </row>
    <row r="15" spans="1:3" ht="15">
      <c r="A15" s="159">
        <v>18</v>
      </c>
      <c r="B15" s="160" t="s">
        <v>86</v>
      </c>
      <c r="C15" s="69"/>
    </row>
    <row r="16" spans="1:3" ht="15">
      <c r="A16" s="159">
        <v>19</v>
      </c>
      <c r="B16" s="160" t="s">
        <v>113</v>
      </c>
      <c r="C16" s="69"/>
    </row>
    <row r="17" spans="1:3" ht="15">
      <c r="A17" s="159">
        <v>21</v>
      </c>
      <c r="B17" s="160" t="s">
        <v>114</v>
      </c>
      <c r="C17" s="69"/>
    </row>
    <row r="18" spans="1:3" ht="15">
      <c r="A18" s="159">
        <v>23</v>
      </c>
      <c r="B18" s="160" t="s">
        <v>45</v>
      </c>
      <c r="C18" s="69"/>
    </row>
    <row r="19" spans="1:3" ht="15">
      <c r="A19" s="159">
        <v>31</v>
      </c>
      <c r="B19" s="160" t="s">
        <v>115</v>
      </c>
      <c r="C19" s="69"/>
    </row>
    <row r="20" spans="1:3" ht="15">
      <c r="A20" s="159">
        <v>35</v>
      </c>
      <c r="B20" s="160" t="s">
        <v>116</v>
      </c>
      <c r="C20" s="69"/>
    </row>
    <row r="21" spans="1:3" ht="15">
      <c r="A21" s="159">
        <v>41</v>
      </c>
      <c r="B21" s="160" t="s">
        <v>47</v>
      </c>
      <c r="C21" s="69"/>
    </row>
    <row r="22" spans="1:3" ht="12.75">
      <c r="A22" s="159">
        <v>44</v>
      </c>
      <c r="B22" s="160" t="s">
        <v>117</v>
      </c>
      <c r="C22" s="85"/>
    </row>
    <row r="23" spans="1:3" ht="12.75">
      <c r="A23" s="159">
        <v>45</v>
      </c>
      <c r="B23" s="160" t="s">
        <v>118</v>
      </c>
      <c r="C23" s="85"/>
    </row>
    <row r="24" spans="1:3" ht="12.75">
      <c r="A24" s="159">
        <v>63</v>
      </c>
      <c r="B24" s="160" t="s">
        <v>119</v>
      </c>
      <c r="C24" s="85"/>
    </row>
    <row r="25" spans="1:3" ht="13.5" thickBot="1">
      <c r="A25" s="161">
        <v>66</v>
      </c>
      <c r="B25" s="162" t="s">
        <v>46</v>
      </c>
      <c r="C25" s="85"/>
    </row>
    <row r="26" spans="1:3" ht="15">
      <c r="A26" s="99"/>
      <c r="B26" s="69"/>
      <c r="C26" s="85"/>
    </row>
  </sheetData>
  <mergeCells count="2">
    <mergeCell ref="B1:B4"/>
    <mergeCell ref="A1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57"/>
  <sheetViews>
    <sheetView zoomScale="75" zoomScaleNormal="75" workbookViewId="0" topLeftCell="A1">
      <pane xSplit="2" topLeftCell="C1" activePane="topRight" state="frozen"/>
      <selection pane="topLeft" activeCell="C3" sqref="C3:C4"/>
      <selection pane="topRight" activeCell="E7" sqref="E7"/>
    </sheetView>
  </sheetViews>
  <sheetFormatPr defaultColWidth="9.140625" defaultRowHeight="12.75"/>
  <cols>
    <col min="1" max="1" width="0" style="0" hidden="1" customWidth="1"/>
    <col min="3" max="3" width="40.7109375" style="0" customWidth="1"/>
    <col min="4" max="4" width="8.28125" style="0" customWidth="1"/>
    <col min="5" max="5" width="11.00390625" style="0" customWidth="1"/>
    <col min="6" max="7" width="8.28125" style="0" customWidth="1"/>
    <col min="8" max="8" width="9.421875" style="0" customWidth="1"/>
    <col min="9" max="9" width="10.7109375" style="0" customWidth="1"/>
    <col min="10" max="10" width="9.8515625" style="0" customWidth="1"/>
    <col min="11" max="11" width="6.8515625" style="0" customWidth="1"/>
    <col min="12" max="12" width="5.7109375" style="0" customWidth="1"/>
    <col min="13" max="14" width="6.140625" style="0" customWidth="1"/>
    <col min="15" max="15" width="5.8515625" style="0" customWidth="1"/>
    <col min="16" max="16" width="5.28125" style="121" customWidth="1"/>
    <col min="17" max="17" width="6.8515625" style="0" customWidth="1"/>
    <col min="18" max="18" width="7.421875" style="0" customWidth="1"/>
    <col min="19" max="19" width="9.8515625" style="0" bestFit="1" customWidth="1"/>
    <col min="20" max="20" width="10.28125" style="0" bestFit="1" customWidth="1"/>
  </cols>
  <sheetData>
    <row r="1" spans="2:19" ht="45">
      <c r="B1" s="97" t="s">
        <v>127</v>
      </c>
      <c r="C1" s="84"/>
      <c r="K1" s="84"/>
      <c r="L1" s="84"/>
      <c r="M1" s="84"/>
      <c r="N1" s="84"/>
      <c r="O1" s="84"/>
      <c r="P1" s="84"/>
      <c r="Q1" s="84"/>
      <c r="R1" s="149"/>
      <c r="S1" s="149"/>
    </row>
    <row r="2" spans="4:18" ht="13.5" thickBot="1">
      <c r="D2" s="87"/>
      <c r="E2" s="87"/>
      <c r="F2" s="87"/>
      <c r="G2" s="87"/>
      <c r="H2" s="87"/>
      <c r="I2" s="87"/>
      <c r="J2" s="87"/>
      <c r="R2" s="70"/>
    </row>
    <row r="3" spans="2:20" ht="13.5" thickBot="1">
      <c r="B3" s="40"/>
      <c r="C3" s="41"/>
      <c r="D3" s="404" t="s">
        <v>92</v>
      </c>
      <c r="E3" s="405"/>
      <c r="F3" s="405"/>
      <c r="G3" s="405"/>
      <c r="H3" s="405"/>
      <c r="I3" s="405"/>
      <c r="J3" s="406"/>
      <c r="K3" s="138"/>
      <c r="L3" s="42"/>
      <c r="M3" s="42"/>
      <c r="N3" s="42" t="s">
        <v>9</v>
      </c>
      <c r="O3" s="42"/>
      <c r="P3" s="42"/>
      <c r="Q3" s="43"/>
      <c r="R3" s="44"/>
      <c r="S3" s="42" t="s">
        <v>0</v>
      </c>
      <c r="T3" s="45" t="s">
        <v>0</v>
      </c>
    </row>
    <row r="4" spans="2:20" ht="16.5" thickBot="1">
      <c r="B4" s="8" t="s">
        <v>6</v>
      </c>
      <c r="C4" s="9" t="s">
        <v>93</v>
      </c>
      <c r="D4" s="401" t="s">
        <v>194</v>
      </c>
      <c r="E4" s="402"/>
      <c r="F4" s="403"/>
      <c r="G4" s="401" t="s">
        <v>193</v>
      </c>
      <c r="H4" s="402"/>
      <c r="I4" s="403"/>
      <c r="J4" s="59" t="s">
        <v>70</v>
      </c>
      <c r="K4" s="139"/>
      <c r="L4" s="112"/>
      <c r="M4" s="112"/>
      <c r="N4" s="112" t="s">
        <v>10</v>
      </c>
      <c r="O4" s="112"/>
      <c r="P4" s="112"/>
      <c r="Q4" s="106"/>
      <c r="R4" s="46"/>
      <c r="S4" s="47" t="s">
        <v>2</v>
      </c>
      <c r="T4" s="46" t="s">
        <v>3</v>
      </c>
    </row>
    <row r="5" spans="2:20" ht="16.5" thickBot="1">
      <c r="B5" s="8" t="s">
        <v>7</v>
      </c>
      <c r="C5" s="34"/>
      <c r="D5" s="54" t="s">
        <v>68</v>
      </c>
      <c r="E5" s="108" t="s">
        <v>69</v>
      </c>
      <c r="F5" s="109" t="s">
        <v>72</v>
      </c>
      <c r="G5" s="54" t="s">
        <v>68</v>
      </c>
      <c r="H5" s="108" t="s">
        <v>69</v>
      </c>
      <c r="I5" s="109" t="s">
        <v>72</v>
      </c>
      <c r="J5" s="108" t="s">
        <v>44</v>
      </c>
      <c r="K5" s="132"/>
      <c r="L5" s="115"/>
      <c r="M5" s="115" t="s">
        <v>11</v>
      </c>
      <c r="N5" s="115"/>
      <c r="O5" s="115"/>
      <c r="P5" s="116"/>
      <c r="Q5" s="81" t="s">
        <v>61</v>
      </c>
      <c r="R5" s="48" t="s">
        <v>12</v>
      </c>
      <c r="S5" s="49" t="s">
        <v>3</v>
      </c>
      <c r="T5" s="46" t="s">
        <v>5</v>
      </c>
    </row>
    <row r="6" spans="2:20" ht="15.75" thickBot="1">
      <c r="B6" s="30"/>
      <c r="C6" s="36"/>
      <c r="D6" s="107"/>
      <c r="E6" s="105"/>
      <c r="F6" s="105"/>
      <c r="G6" s="105"/>
      <c r="H6" s="105"/>
      <c r="I6" s="105"/>
      <c r="J6" s="110" t="s">
        <v>72</v>
      </c>
      <c r="K6" s="32" t="s">
        <v>13</v>
      </c>
      <c r="L6" s="32" t="s">
        <v>14</v>
      </c>
      <c r="M6" s="28" t="s">
        <v>62</v>
      </c>
      <c r="N6" s="31" t="s">
        <v>15</v>
      </c>
      <c r="O6" s="31" t="s">
        <v>16</v>
      </c>
      <c r="P6" s="31" t="s">
        <v>17</v>
      </c>
      <c r="Q6" s="28" t="s">
        <v>18</v>
      </c>
      <c r="R6" s="126" t="s">
        <v>19</v>
      </c>
      <c r="S6" s="81" t="s">
        <v>4</v>
      </c>
      <c r="T6" s="38" t="s">
        <v>131</v>
      </c>
    </row>
    <row r="7" spans="2:20" ht="15">
      <c r="B7" s="169">
        <f>'Team list - 2003'!A5</f>
        <v>1</v>
      </c>
      <c r="C7" s="170" t="str">
        <f>'Team list - 2003'!B5</f>
        <v>University of Wollongong</v>
      </c>
      <c r="D7" s="190">
        <v>0</v>
      </c>
      <c r="E7" s="238"/>
      <c r="F7" s="229">
        <f>IF(D7="","",D7*60+E7)</f>
        <v>0</v>
      </c>
      <c r="G7" s="238">
        <v>0</v>
      </c>
      <c r="H7" s="356">
        <v>10000</v>
      </c>
      <c r="I7" s="229">
        <f>IF(G7="","",G7*60+H7)</f>
        <v>10000</v>
      </c>
      <c r="J7" s="229">
        <f>IF(F7="","",F7+I7)</f>
        <v>10000</v>
      </c>
      <c r="K7" s="236"/>
      <c r="L7" s="236"/>
      <c r="M7" s="190"/>
      <c r="N7" s="238"/>
      <c r="O7" s="190"/>
      <c r="P7" s="236"/>
      <c r="Q7" s="236"/>
      <c r="R7" s="250">
        <f>IF(Q7="",IF(J7="","",J7+(K7*DOO)+(L7*OC)+(M7*OO)+(N7*PFE)+(O7*FYF)+(P7*OD)),"-")</f>
        <v>10000</v>
      </c>
      <c r="S7" s="189">
        <f>IF(R7="","",IF(R7&gt;Tmax,0,IF(Q7="",(300*(((Tmax/R7)-1)/((Tmax/Tmin)-1))+50),0)))</f>
        <v>0</v>
      </c>
      <c r="T7" s="231">
        <f aca="true" t="shared" si="0" ref="T7:T27">IF(S7="","",RANK(S7,$S$7:$S$27))</f>
        <v>8</v>
      </c>
    </row>
    <row r="8" spans="2:20" ht="15">
      <c r="B8" s="173">
        <f>'Team list - 2003'!A6</f>
        <v>2</v>
      </c>
      <c r="C8" s="207" t="str">
        <f>'Team list - 2003'!B6</f>
        <v>University of Western Australia</v>
      </c>
      <c r="D8" s="194">
        <v>0</v>
      </c>
      <c r="E8" s="241"/>
      <c r="F8" s="251">
        <f aca="true" t="shared" si="1" ref="F8:F27">IF(D8="","",D8*60+E8)</f>
        <v>0</v>
      </c>
      <c r="G8" s="241">
        <v>0</v>
      </c>
      <c r="H8" s="357">
        <v>10000</v>
      </c>
      <c r="I8" s="251">
        <f aca="true" t="shared" si="2" ref="I8:I27">IF(G8="","",G8*60+H8)</f>
        <v>10000</v>
      </c>
      <c r="J8" s="251">
        <f aca="true" t="shared" si="3" ref="J8:J27">IF(F8="","",F8+I8)</f>
        <v>10000</v>
      </c>
      <c r="K8" s="239">
        <v>1</v>
      </c>
      <c r="L8" s="239"/>
      <c r="M8" s="194"/>
      <c r="N8" s="241"/>
      <c r="O8" s="194">
        <v>1</v>
      </c>
      <c r="P8" s="239"/>
      <c r="Q8" s="239"/>
      <c r="R8" s="252">
        <f aca="true" t="shared" si="4" ref="R8:R27">IF(Q8="",IF(J8="","",J8+(K8*DOO)+(L8*OC)+(M8*OO)+(N8*PFE)+(O8*FYF)+(P8*OD)),"-")</f>
        <v>10062</v>
      </c>
      <c r="S8" s="193">
        <f aca="true" t="shared" si="5" ref="S8:S27">IF(R8="","",IF(R8&gt;Tmax,0,IF(Q8="",(300*(((Tmax/R8)-1)/((Tmax/Tmin)-1))+50),0)))</f>
        <v>0</v>
      </c>
      <c r="T8" s="231">
        <f t="shared" si="0"/>
        <v>8</v>
      </c>
    </row>
    <row r="9" spans="2:20" ht="15">
      <c r="B9" s="332">
        <f>'Team list - 2003'!A7</f>
        <v>3</v>
      </c>
      <c r="C9" s="344" t="str">
        <f>'Team list - 2003'!B7</f>
        <v>University of Sydney</v>
      </c>
      <c r="D9" s="194">
        <v>0</v>
      </c>
      <c r="E9" s="241">
        <v>848.6076</v>
      </c>
      <c r="F9" s="251">
        <f t="shared" si="1"/>
        <v>848.6076</v>
      </c>
      <c r="G9" s="241">
        <v>0</v>
      </c>
      <c r="H9" s="241">
        <v>936.0494</v>
      </c>
      <c r="I9" s="251">
        <f t="shared" si="2"/>
        <v>936.0494</v>
      </c>
      <c r="J9" s="251">
        <f t="shared" si="3"/>
        <v>1784.6570000000002</v>
      </c>
      <c r="K9" s="239">
        <f>4+1+1</f>
        <v>6</v>
      </c>
      <c r="L9" s="239"/>
      <c r="M9" s="194"/>
      <c r="N9" s="241"/>
      <c r="O9" s="194"/>
      <c r="P9" s="239"/>
      <c r="Q9" s="239"/>
      <c r="R9" s="252">
        <f t="shared" si="4"/>
        <v>1796.6570000000002</v>
      </c>
      <c r="S9" s="193">
        <f>IF(R9="","",IF(R9&gt;Tmax,0,IF(Q9="",(300*(((Tmax/R9)-1)/((Tmax/Tmin)-1))+50),0)))</f>
        <v>169.4573695921253</v>
      </c>
      <c r="T9" s="231">
        <f t="shared" si="0"/>
        <v>7</v>
      </c>
    </row>
    <row r="10" spans="2:20" ht="15">
      <c r="B10" s="173">
        <f>'Team list - 2003'!A8</f>
        <v>4</v>
      </c>
      <c r="C10" s="207" t="str">
        <f>'Team list - 2003'!B8</f>
        <v>Swinburne University of Technology</v>
      </c>
      <c r="D10" s="194">
        <v>0</v>
      </c>
      <c r="E10" s="241"/>
      <c r="F10" s="251">
        <f t="shared" si="1"/>
        <v>0</v>
      </c>
      <c r="G10" s="241">
        <v>0</v>
      </c>
      <c r="H10" s="357">
        <v>10000</v>
      </c>
      <c r="I10" s="251">
        <f t="shared" si="2"/>
        <v>10000</v>
      </c>
      <c r="J10" s="251">
        <f t="shared" si="3"/>
        <v>10000</v>
      </c>
      <c r="K10" s="239">
        <f>1+4+2</f>
        <v>7</v>
      </c>
      <c r="L10" s="239">
        <f>3+1+1</f>
        <v>5</v>
      </c>
      <c r="M10" s="194"/>
      <c r="N10" s="241"/>
      <c r="O10" s="194">
        <v>1</v>
      </c>
      <c r="P10" s="239"/>
      <c r="Q10" s="239"/>
      <c r="R10" s="252">
        <f t="shared" si="4"/>
        <v>10174</v>
      </c>
      <c r="S10" s="193">
        <f t="shared" si="5"/>
        <v>0</v>
      </c>
      <c r="T10" s="231">
        <f t="shared" si="0"/>
        <v>8</v>
      </c>
    </row>
    <row r="11" spans="2:20" ht="15">
      <c r="B11" s="332">
        <f>'Team list - 2003'!A9</f>
        <v>5</v>
      </c>
      <c r="C11" s="344" t="str">
        <f>'Team list - 2003'!B9</f>
        <v>Rochester Institute of Technology, USA</v>
      </c>
      <c r="D11" s="194">
        <v>0</v>
      </c>
      <c r="E11" s="241">
        <v>808.3284</v>
      </c>
      <c r="F11" s="251">
        <f t="shared" si="1"/>
        <v>808.3284</v>
      </c>
      <c r="G11" s="241">
        <v>0</v>
      </c>
      <c r="H11" s="241">
        <v>836.8327</v>
      </c>
      <c r="I11" s="251">
        <f t="shared" si="2"/>
        <v>836.8327</v>
      </c>
      <c r="J11" s="251">
        <f t="shared" si="3"/>
        <v>1645.1611</v>
      </c>
      <c r="K11" s="239">
        <f>1+1+2</f>
        <v>4</v>
      </c>
      <c r="L11" s="239">
        <v>1</v>
      </c>
      <c r="M11" s="194"/>
      <c r="N11" s="241"/>
      <c r="O11" s="194"/>
      <c r="P11" s="239"/>
      <c r="Q11" s="239"/>
      <c r="R11" s="252">
        <f t="shared" si="4"/>
        <v>1673.1611</v>
      </c>
      <c r="S11" s="193">
        <f t="shared" si="5"/>
        <v>244.76993987419797</v>
      </c>
      <c r="T11" s="231">
        <f t="shared" si="0"/>
        <v>6</v>
      </c>
    </row>
    <row r="12" spans="2:20" s="156" customFormat="1" ht="30">
      <c r="B12" s="173">
        <f>'Team list - 2003'!A10</f>
        <v>6</v>
      </c>
      <c r="C12" s="207" t="str">
        <f>'Team list - 2003'!B10</f>
        <v>Australian National University &amp; Canberra Institute of Technology</v>
      </c>
      <c r="D12" s="197">
        <v>0</v>
      </c>
      <c r="E12" s="357">
        <v>10000</v>
      </c>
      <c r="F12" s="253">
        <f t="shared" si="1"/>
        <v>10000</v>
      </c>
      <c r="G12" s="244">
        <v>0</v>
      </c>
      <c r="H12" s="357">
        <v>10000</v>
      </c>
      <c r="I12" s="253">
        <f t="shared" si="2"/>
        <v>10000</v>
      </c>
      <c r="J12" s="253">
        <f t="shared" si="3"/>
        <v>20000</v>
      </c>
      <c r="K12" s="242">
        <f>6</f>
        <v>6</v>
      </c>
      <c r="L12" s="242"/>
      <c r="M12" s="197"/>
      <c r="N12" s="244"/>
      <c r="O12" s="197"/>
      <c r="P12" s="242"/>
      <c r="Q12" s="242"/>
      <c r="R12" s="254">
        <f t="shared" si="4"/>
        <v>20012</v>
      </c>
      <c r="S12" s="196">
        <f t="shared" si="5"/>
        <v>0</v>
      </c>
      <c r="T12" s="231">
        <f t="shared" si="0"/>
        <v>8</v>
      </c>
    </row>
    <row r="13" spans="2:20" ht="15">
      <c r="B13" s="173">
        <f>'Team list - 2003'!A11</f>
        <v>8</v>
      </c>
      <c r="C13" s="207" t="str">
        <f>'Team list - 2003'!B11</f>
        <v>University of Technology, Sydney</v>
      </c>
      <c r="D13" s="194">
        <v>0</v>
      </c>
      <c r="E13" s="357">
        <v>10000</v>
      </c>
      <c r="F13" s="251">
        <f t="shared" si="1"/>
        <v>10000</v>
      </c>
      <c r="G13" s="241">
        <v>0</v>
      </c>
      <c r="H13" s="357">
        <v>10000</v>
      </c>
      <c r="I13" s="251">
        <f t="shared" si="2"/>
        <v>10000</v>
      </c>
      <c r="J13" s="251">
        <f t="shared" si="3"/>
        <v>20000</v>
      </c>
      <c r="K13" s="239"/>
      <c r="L13" s="239"/>
      <c r="M13" s="194"/>
      <c r="N13" s="241"/>
      <c r="O13" s="194"/>
      <c r="P13" s="239"/>
      <c r="Q13" s="239"/>
      <c r="R13" s="252">
        <f t="shared" si="4"/>
        <v>20000</v>
      </c>
      <c r="S13" s="193">
        <f t="shared" si="5"/>
        <v>0</v>
      </c>
      <c r="T13" s="231">
        <f t="shared" si="0"/>
        <v>8</v>
      </c>
    </row>
    <row r="14" spans="2:20" ht="15">
      <c r="B14" s="332">
        <f>'Team list - 2003'!A12</f>
        <v>9</v>
      </c>
      <c r="C14" s="344" t="str">
        <f>'Team list - 2003'!B12</f>
        <v>The University of Adelaide</v>
      </c>
      <c r="D14" s="194">
        <v>0</v>
      </c>
      <c r="E14" s="241">
        <v>773.8822</v>
      </c>
      <c r="F14" s="251">
        <f t="shared" si="1"/>
        <v>773.8822</v>
      </c>
      <c r="G14" s="241">
        <v>0</v>
      </c>
      <c r="H14" s="241">
        <v>848.0048</v>
      </c>
      <c r="I14" s="251">
        <f t="shared" si="2"/>
        <v>848.0048</v>
      </c>
      <c r="J14" s="251">
        <f t="shared" si="3"/>
        <v>1621.8870000000002</v>
      </c>
      <c r="K14" s="239">
        <f>1+1</f>
        <v>2</v>
      </c>
      <c r="L14" s="239"/>
      <c r="M14" s="194"/>
      <c r="N14" s="241"/>
      <c r="O14" s="194"/>
      <c r="P14" s="239"/>
      <c r="Q14" s="239"/>
      <c r="R14" s="252">
        <f t="shared" si="4"/>
        <v>1625.8870000000002</v>
      </c>
      <c r="S14" s="193">
        <f t="shared" si="5"/>
        <v>276.62753692361514</v>
      </c>
      <c r="T14" s="231">
        <f t="shared" si="0"/>
        <v>5</v>
      </c>
    </row>
    <row r="15" spans="2:20" ht="15">
      <c r="B15" s="332">
        <f>'Team list - 2003'!A13</f>
        <v>11</v>
      </c>
      <c r="C15" s="344" t="str">
        <f>'Team list - 2003'!B13</f>
        <v>Auburn University, USA</v>
      </c>
      <c r="D15" s="194">
        <v>0</v>
      </c>
      <c r="E15" s="241">
        <v>762.5955</v>
      </c>
      <c r="F15" s="251">
        <f t="shared" si="1"/>
        <v>762.5955</v>
      </c>
      <c r="G15" s="241">
        <v>0</v>
      </c>
      <c r="H15" s="241">
        <v>725.9813</v>
      </c>
      <c r="I15" s="251">
        <f t="shared" si="2"/>
        <v>725.9813</v>
      </c>
      <c r="J15" s="251">
        <f t="shared" si="3"/>
        <v>1488.5768</v>
      </c>
      <c r="K15" s="239">
        <f>2+1+2+2</f>
        <v>7</v>
      </c>
      <c r="L15" s="239">
        <f>2+1+1</f>
        <v>4</v>
      </c>
      <c r="M15" s="194"/>
      <c r="N15" s="241"/>
      <c r="O15" s="194"/>
      <c r="P15" s="239"/>
      <c r="Q15" s="239"/>
      <c r="R15" s="252">
        <f t="shared" si="4"/>
        <v>1582.5768</v>
      </c>
      <c r="S15" s="193">
        <f t="shared" si="5"/>
        <v>307.4844799470865</v>
      </c>
      <c r="T15" s="231">
        <f t="shared" si="0"/>
        <v>3</v>
      </c>
    </row>
    <row r="16" spans="2:20" ht="15">
      <c r="B16" s="173">
        <f>'Team list - 2003'!A14</f>
        <v>14</v>
      </c>
      <c r="C16" s="207" t="str">
        <f>'Team list - 2003'!B14</f>
        <v>Curtin University of Technology</v>
      </c>
      <c r="D16" s="194">
        <v>0</v>
      </c>
      <c r="E16" s="241">
        <v>853.1486</v>
      </c>
      <c r="F16" s="251">
        <f t="shared" si="1"/>
        <v>853.1486</v>
      </c>
      <c r="G16" s="241">
        <v>0</v>
      </c>
      <c r="H16" s="357">
        <v>10000</v>
      </c>
      <c r="I16" s="251">
        <f t="shared" si="2"/>
        <v>10000</v>
      </c>
      <c r="J16" s="251">
        <f t="shared" si="3"/>
        <v>10853.1486</v>
      </c>
      <c r="K16" s="239">
        <f>2+1+1+1+1+1+2</f>
        <v>9</v>
      </c>
      <c r="L16" s="239">
        <f>2+1</f>
        <v>3</v>
      </c>
      <c r="M16" s="194"/>
      <c r="N16" s="241"/>
      <c r="O16" s="194"/>
      <c r="P16" s="239"/>
      <c r="Q16" s="239"/>
      <c r="R16" s="252">
        <f t="shared" si="4"/>
        <v>10931.1486</v>
      </c>
      <c r="S16" s="193">
        <f t="shared" si="5"/>
        <v>0</v>
      </c>
      <c r="T16" s="231">
        <f t="shared" si="0"/>
        <v>8</v>
      </c>
    </row>
    <row r="17" spans="2:20" ht="15">
      <c r="B17" s="173">
        <f>'Team list - 2003'!A15</f>
        <v>18</v>
      </c>
      <c r="C17" s="207" t="str">
        <f>'Team list - 2003'!B15</f>
        <v>University of Melbourne</v>
      </c>
      <c r="D17" s="194">
        <v>0</v>
      </c>
      <c r="E17" s="357">
        <v>10000</v>
      </c>
      <c r="F17" s="251">
        <f t="shared" si="1"/>
        <v>10000</v>
      </c>
      <c r="G17" s="241">
        <v>0</v>
      </c>
      <c r="H17" s="357">
        <v>10000</v>
      </c>
      <c r="I17" s="251">
        <f t="shared" si="2"/>
        <v>10000</v>
      </c>
      <c r="J17" s="251">
        <f t="shared" si="3"/>
        <v>20000</v>
      </c>
      <c r="K17" s="239">
        <v>1</v>
      </c>
      <c r="L17" s="239"/>
      <c r="M17" s="194"/>
      <c r="N17" s="241"/>
      <c r="O17" s="194"/>
      <c r="P17" s="239"/>
      <c r="Q17" s="239"/>
      <c r="R17" s="252">
        <f t="shared" si="4"/>
        <v>20002</v>
      </c>
      <c r="S17" s="193">
        <f t="shared" si="5"/>
        <v>0</v>
      </c>
      <c r="T17" s="231">
        <f t="shared" si="0"/>
        <v>8</v>
      </c>
    </row>
    <row r="18" spans="2:20" ht="15">
      <c r="B18" s="173">
        <f>'Team list - 2003'!A16</f>
        <v>19</v>
      </c>
      <c r="C18" s="207" t="str">
        <f>'Team list - 2003'!B16</f>
        <v>University of Braunschweig, GERMANY</v>
      </c>
      <c r="D18" s="194">
        <v>0</v>
      </c>
      <c r="E18" s="357">
        <v>10000</v>
      </c>
      <c r="F18" s="251">
        <f t="shared" si="1"/>
        <v>10000</v>
      </c>
      <c r="G18" s="241">
        <v>0</v>
      </c>
      <c r="H18" s="357">
        <v>10000</v>
      </c>
      <c r="I18" s="251">
        <f t="shared" si="2"/>
        <v>10000</v>
      </c>
      <c r="J18" s="251">
        <f t="shared" si="3"/>
        <v>20000</v>
      </c>
      <c r="K18" s="239"/>
      <c r="L18" s="239"/>
      <c r="M18" s="194"/>
      <c r="N18" s="241"/>
      <c r="O18" s="194"/>
      <c r="P18" s="239"/>
      <c r="Q18" s="239"/>
      <c r="R18" s="252">
        <f t="shared" si="4"/>
        <v>20000</v>
      </c>
      <c r="S18" s="193">
        <f t="shared" si="5"/>
        <v>0</v>
      </c>
      <c r="T18" s="231">
        <f t="shared" si="0"/>
        <v>8</v>
      </c>
    </row>
    <row r="19" spans="2:20" ht="15">
      <c r="B19" s="173">
        <f>'Team list - 2003'!A17</f>
        <v>21</v>
      </c>
      <c r="C19" s="207" t="str">
        <f>'Team list - 2003'!B17</f>
        <v>Tokyo Denki University, JAPAN </v>
      </c>
      <c r="D19" s="194">
        <v>0</v>
      </c>
      <c r="E19" s="357">
        <v>10000</v>
      </c>
      <c r="F19" s="251">
        <f t="shared" si="1"/>
        <v>10000</v>
      </c>
      <c r="G19" s="241">
        <v>0</v>
      </c>
      <c r="H19" s="357">
        <v>10000</v>
      </c>
      <c r="I19" s="251">
        <f t="shared" si="2"/>
        <v>10000</v>
      </c>
      <c r="J19" s="251">
        <f t="shared" si="3"/>
        <v>20000</v>
      </c>
      <c r="K19" s="239"/>
      <c r="L19" s="239"/>
      <c r="M19" s="194"/>
      <c r="N19" s="241"/>
      <c r="O19" s="194"/>
      <c r="P19" s="239"/>
      <c r="Q19" s="239"/>
      <c r="R19" s="252">
        <f t="shared" si="4"/>
        <v>20000</v>
      </c>
      <c r="S19" s="193">
        <f t="shared" si="5"/>
        <v>0</v>
      </c>
      <c r="T19" s="231">
        <f t="shared" si="0"/>
        <v>8</v>
      </c>
    </row>
    <row r="20" spans="2:20" ht="15">
      <c r="B20" s="173">
        <f>'Team list - 2003'!A18</f>
        <v>23</v>
      </c>
      <c r="C20" s="207" t="str">
        <f>'Team list - 2003'!B18</f>
        <v>Deakin University</v>
      </c>
      <c r="D20" s="194">
        <v>0</v>
      </c>
      <c r="E20" s="357">
        <v>10000</v>
      </c>
      <c r="F20" s="251">
        <f t="shared" si="1"/>
        <v>10000</v>
      </c>
      <c r="G20" s="241">
        <v>0</v>
      </c>
      <c r="H20" s="357">
        <v>10000</v>
      </c>
      <c r="I20" s="251">
        <f t="shared" si="2"/>
        <v>10000</v>
      </c>
      <c r="J20" s="251">
        <f t="shared" si="3"/>
        <v>20000</v>
      </c>
      <c r="K20" s="239"/>
      <c r="L20" s="239"/>
      <c r="M20" s="194"/>
      <c r="N20" s="241"/>
      <c r="O20" s="194"/>
      <c r="P20" s="239"/>
      <c r="Q20" s="239"/>
      <c r="R20" s="252">
        <f t="shared" si="4"/>
        <v>20000</v>
      </c>
      <c r="S20" s="193">
        <f t="shared" si="5"/>
        <v>0</v>
      </c>
      <c r="T20" s="231">
        <f t="shared" si="0"/>
        <v>8</v>
      </c>
    </row>
    <row r="21" spans="2:20" ht="15">
      <c r="B21" s="173">
        <f>'Team list - 2003'!A19</f>
        <v>31</v>
      </c>
      <c r="C21" s="207" t="str">
        <f>'Team list - 2003'!B19</f>
        <v>Georgia Institute of Technology, USA</v>
      </c>
      <c r="D21" s="194">
        <v>0</v>
      </c>
      <c r="E21" s="357">
        <v>10000</v>
      </c>
      <c r="F21" s="251">
        <f t="shared" si="1"/>
        <v>10000</v>
      </c>
      <c r="G21" s="241">
        <v>0</v>
      </c>
      <c r="H21" s="357">
        <v>10000</v>
      </c>
      <c r="I21" s="251">
        <f t="shared" si="2"/>
        <v>10000</v>
      </c>
      <c r="J21" s="251">
        <f t="shared" si="3"/>
        <v>20000</v>
      </c>
      <c r="K21" s="239"/>
      <c r="L21" s="239"/>
      <c r="M21" s="194"/>
      <c r="N21" s="241"/>
      <c r="O21" s="194"/>
      <c r="P21" s="239"/>
      <c r="Q21" s="239"/>
      <c r="R21" s="252">
        <f t="shared" si="4"/>
        <v>20000</v>
      </c>
      <c r="S21" s="193">
        <f t="shared" si="5"/>
        <v>0</v>
      </c>
      <c r="T21" s="231">
        <f t="shared" si="0"/>
        <v>8</v>
      </c>
    </row>
    <row r="22" spans="2:20" ht="15">
      <c r="B22" s="332">
        <f>'Team list - 2003'!A20</f>
        <v>35</v>
      </c>
      <c r="C22" s="344" t="str">
        <f>'Team list - 2003'!B20</f>
        <v>Chalmers University, SWEDEN </v>
      </c>
      <c r="D22" s="194">
        <v>0</v>
      </c>
      <c r="E22" s="241">
        <v>845.2034</v>
      </c>
      <c r="F22" s="251">
        <f t="shared" si="1"/>
        <v>845.2034</v>
      </c>
      <c r="G22" s="241">
        <v>0</v>
      </c>
      <c r="H22" s="241">
        <v>751.1016</v>
      </c>
      <c r="I22" s="251">
        <f t="shared" si="2"/>
        <v>751.1016</v>
      </c>
      <c r="J22" s="251">
        <f t="shared" si="3"/>
        <v>1596.3049999999998</v>
      </c>
      <c r="K22" s="239"/>
      <c r="L22" s="239"/>
      <c r="M22" s="194"/>
      <c r="N22" s="241"/>
      <c r="O22" s="194"/>
      <c r="P22" s="239"/>
      <c r="Q22" s="239"/>
      <c r="R22" s="252">
        <f t="shared" si="4"/>
        <v>1596.3049999999998</v>
      </c>
      <c r="S22" s="193">
        <f t="shared" si="5"/>
        <v>297.522382362128</v>
      </c>
      <c r="T22" s="231">
        <f t="shared" si="0"/>
        <v>4</v>
      </c>
    </row>
    <row r="23" spans="2:20" ht="15">
      <c r="B23" s="332">
        <f>'Team list - 2003'!A21</f>
        <v>41</v>
      </c>
      <c r="C23" s="344" t="str">
        <f>'Team list - 2003'!B21</f>
        <v>University of Queensland</v>
      </c>
      <c r="D23" s="194">
        <v>0</v>
      </c>
      <c r="E23" s="241">
        <v>734.2423</v>
      </c>
      <c r="F23" s="251">
        <f t="shared" si="1"/>
        <v>734.2423</v>
      </c>
      <c r="G23" s="241">
        <v>0</v>
      </c>
      <c r="H23" s="241">
        <v>736.3065</v>
      </c>
      <c r="I23" s="251">
        <f t="shared" si="2"/>
        <v>736.3065</v>
      </c>
      <c r="J23" s="251">
        <f t="shared" si="3"/>
        <v>1470.5488</v>
      </c>
      <c r="K23" s="239">
        <f>1+1+1+2+3</f>
        <v>8</v>
      </c>
      <c r="L23" s="239">
        <v>2</v>
      </c>
      <c r="M23" s="194"/>
      <c r="N23" s="241"/>
      <c r="O23" s="194"/>
      <c r="P23" s="239"/>
      <c r="Q23" s="239"/>
      <c r="R23" s="252">
        <f t="shared" si="4"/>
        <v>1526.5488</v>
      </c>
      <c r="S23" s="193">
        <f t="shared" si="5"/>
        <v>350</v>
      </c>
      <c r="T23" s="231">
        <f t="shared" si="0"/>
        <v>1</v>
      </c>
    </row>
    <row r="24" spans="2:20" ht="15">
      <c r="B24" s="173">
        <f>'Team list - 2003'!A22</f>
        <v>44</v>
      </c>
      <c r="C24" s="207" t="str">
        <f>'Team list - 2003'!B22</f>
        <v>University of Newcastle</v>
      </c>
      <c r="D24" s="194">
        <v>0</v>
      </c>
      <c r="E24" s="357">
        <v>10000</v>
      </c>
      <c r="F24" s="251">
        <f t="shared" si="1"/>
        <v>10000</v>
      </c>
      <c r="G24" s="241">
        <v>0</v>
      </c>
      <c r="H24" s="357">
        <v>10000</v>
      </c>
      <c r="I24" s="251">
        <f t="shared" si="2"/>
        <v>10000</v>
      </c>
      <c r="J24" s="251">
        <f t="shared" si="3"/>
        <v>20000</v>
      </c>
      <c r="K24" s="239"/>
      <c r="L24" s="239"/>
      <c r="M24" s="194"/>
      <c r="N24" s="241"/>
      <c r="O24" s="194"/>
      <c r="P24" s="239"/>
      <c r="Q24" s="239"/>
      <c r="R24" s="252">
        <f t="shared" si="4"/>
        <v>20000</v>
      </c>
      <c r="S24" s="193">
        <f t="shared" si="5"/>
        <v>0</v>
      </c>
      <c r="T24" s="231">
        <f t="shared" si="0"/>
        <v>8</v>
      </c>
    </row>
    <row r="25" spans="2:20" ht="15">
      <c r="B25" s="173">
        <f>'Team list - 2003'!A23</f>
        <v>45</v>
      </c>
      <c r="C25" s="207" t="str">
        <f>'Team list - 2003'!B23</f>
        <v>RMIT University</v>
      </c>
      <c r="D25" s="194">
        <v>0</v>
      </c>
      <c r="E25" s="357">
        <v>10000</v>
      </c>
      <c r="F25" s="251">
        <f t="shared" si="1"/>
        <v>10000</v>
      </c>
      <c r="G25" s="241">
        <v>0</v>
      </c>
      <c r="H25" s="357">
        <v>10000</v>
      </c>
      <c r="I25" s="251">
        <f t="shared" si="2"/>
        <v>10000</v>
      </c>
      <c r="J25" s="251">
        <f t="shared" si="3"/>
        <v>20000</v>
      </c>
      <c r="K25" s="239">
        <f>1+2+1</f>
        <v>4</v>
      </c>
      <c r="L25" s="239">
        <f>2+1+1</f>
        <v>4</v>
      </c>
      <c r="M25" s="194"/>
      <c r="N25" s="241"/>
      <c r="O25" s="194"/>
      <c r="P25" s="239"/>
      <c r="Q25" s="239"/>
      <c r="R25" s="252">
        <f t="shared" si="4"/>
        <v>20088</v>
      </c>
      <c r="S25" s="193">
        <f t="shared" si="5"/>
        <v>0</v>
      </c>
      <c r="T25" s="231">
        <f t="shared" si="0"/>
        <v>8</v>
      </c>
    </row>
    <row r="26" spans="2:20" ht="15">
      <c r="B26" s="332">
        <f>'Team list - 2003'!A24</f>
        <v>63</v>
      </c>
      <c r="C26" s="344" t="str">
        <f>'Team list - 2003'!B24</f>
        <v>University of NSW</v>
      </c>
      <c r="D26" s="194">
        <v>0</v>
      </c>
      <c r="E26" s="241">
        <v>800.8261</v>
      </c>
      <c r="F26" s="251">
        <f t="shared" si="1"/>
        <v>800.8261</v>
      </c>
      <c r="G26" s="241">
        <v>0</v>
      </c>
      <c r="H26" s="241">
        <v>736.8347</v>
      </c>
      <c r="I26" s="251">
        <f t="shared" si="2"/>
        <v>736.8347</v>
      </c>
      <c r="J26" s="251">
        <f t="shared" si="3"/>
        <v>1537.6608</v>
      </c>
      <c r="K26" s="239">
        <f>2+2</f>
        <v>4</v>
      </c>
      <c r="L26" s="239"/>
      <c r="M26" s="194"/>
      <c r="N26" s="241"/>
      <c r="O26" s="194"/>
      <c r="P26" s="239"/>
      <c r="Q26" s="239"/>
      <c r="R26" s="252">
        <f t="shared" si="4"/>
        <v>1545.6608</v>
      </c>
      <c r="S26" s="193">
        <f t="shared" si="5"/>
        <v>335.15093478593866</v>
      </c>
      <c r="T26" s="231">
        <f t="shared" si="0"/>
        <v>2</v>
      </c>
    </row>
    <row r="27" spans="2:20" ht="15.75" thickBot="1">
      <c r="B27" s="179">
        <f>'Team list - 2003'!A25</f>
        <v>66</v>
      </c>
      <c r="C27" s="217" t="str">
        <f>'Team list - 2003'!B25</f>
        <v>Monash University</v>
      </c>
      <c r="D27" s="201">
        <v>0</v>
      </c>
      <c r="E27" s="358">
        <v>10000</v>
      </c>
      <c r="F27" s="255">
        <f t="shared" si="1"/>
        <v>10000</v>
      </c>
      <c r="G27" s="246">
        <v>0</v>
      </c>
      <c r="H27" s="358">
        <v>10000</v>
      </c>
      <c r="I27" s="233">
        <f t="shared" si="2"/>
        <v>10000</v>
      </c>
      <c r="J27" s="255">
        <f t="shared" si="3"/>
        <v>20000</v>
      </c>
      <c r="K27" s="245">
        <f>1+1+1+1</f>
        <v>4</v>
      </c>
      <c r="L27" s="245">
        <f>1</f>
        <v>1</v>
      </c>
      <c r="M27" s="201"/>
      <c r="N27" s="246"/>
      <c r="O27" s="201"/>
      <c r="P27" s="245"/>
      <c r="Q27" s="245"/>
      <c r="R27" s="256">
        <f t="shared" si="4"/>
        <v>20028</v>
      </c>
      <c r="S27" s="200">
        <f t="shared" si="5"/>
        <v>0</v>
      </c>
      <c r="T27" s="231">
        <f t="shared" si="0"/>
        <v>8</v>
      </c>
    </row>
    <row r="28" spans="2:20" ht="15">
      <c r="B28" s="74"/>
      <c r="C28" s="75"/>
      <c r="D28" s="55"/>
      <c r="E28" s="55"/>
      <c r="F28" s="55"/>
      <c r="G28" s="55"/>
      <c r="H28" s="55"/>
      <c r="I28" s="55"/>
      <c r="J28" s="55"/>
      <c r="K28" s="77"/>
      <c r="L28" s="77"/>
      <c r="M28" s="77"/>
      <c r="N28" s="77"/>
      <c r="O28" s="77"/>
      <c r="P28" s="77"/>
      <c r="Q28" s="77"/>
      <c r="R28" s="77"/>
      <c r="S28" s="78"/>
      <c r="T28" s="78"/>
    </row>
    <row r="29" spans="2:20" ht="15.75" thickBot="1">
      <c r="B29" s="82" t="s">
        <v>22</v>
      </c>
      <c r="C29" t="s">
        <v>64</v>
      </c>
      <c r="D29" s="83" t="s">
        <v>65</v>
      </c>
      <c r="H29" t="s">
        <v>183</v>
      </c>
      <c r="K29" s="35"/>
      <c r="L29" s="35"/>
      <c r="M29" s="35"/>
      <c r="N29" s="35"/>
      <c r="O29" s="35"/>
      <c r="P29" s="129"/>
      <c r="Q29" s="34"/>
      <c r="R29" s="27"/>
      <c r="S29" s="35"/>
      <c r="T29" s="135"/>
    </row>
    <row r="30" spans="2:20" ht="13.5" thickBot="1">
      <c r="B30" s="53" t="s">
        <v>13</v>
      </c>
      <c r="C30" s="70" t="s">
        <v>55</v>
      </c>
      <c r="D30" s="55">
        <v>2</v>
      </c>
      <c r="H30">
        <v>717</v>
      </c>
      <c r="I30" t="s">
        <v>180</v>
      </c>
      <c r="Q30" s="39" t="s">
        <v>20</v>
      </c>
      <c r="R30" s="56">
        <f>MIN(R7:R27)</f>
        <v>1526.5488</v>
      </c>
      <c r="T30" s="70"/>
    </row>
    <row r="31" spans="2:18" ht="13.5" thickBot="1">
      <c r="B31" s="53" t="s">
        <v>14</v>
      </c>
      <c r="C31" t="s">
        <v>56</v>
      </c>
      <c r="D31" s="55">
        <v>20</v>
      </c>
      <c r="H31">
        <v>15</v>
      </c>
      <c r="I31" t="s">
        <v>181</v>
      </c>
      <c r="Q31" s="39" t="s">
        <v>21</v>
      </c>
      <c r="R31" s="56">
        <f>1.333*R30</f>
        <v>2034.8895504</v>
      </c>
    </row>
    <row r="32" spans="2:9" ht="12.75">
      <c r="B32" s="53" t="s">
        <v>62</v>
      </c>
      <c r="C32" s="70" t="s">
        <v>63</v>
      </c>
      <c r="D32" s="55">
        <v>120</v>
      </c>
      <c r="H32">
        <f>H30*H31/1000*2</f>
        <v>21.51</v>
      </c>
      <c r="I32" t="s">
        <v>182</v>
      </c>
    </row>
    <row r="33" spans="2:9" ht="12.75">
      <c r="B33" s="53" t="s">
        <v>15</v>
      </c>
      <c r="C33" t="s">
        <v>57</v>
      </c>
      <c r="D33" s="55">
        <v>240</v>
      </c>
      <c r="H33">
        <v>5.72</v>
      </c>
      <c r="I33" t="s">
        <v>184</v>
      </c>
    </row>
    <row r="34" spans="2:9" ht="12.75">
      <c r="B34" s="53" t="s">
        <v>16</v>
      </c>
      <c r="C34" t="s">
        <v>58</v>
      </c>
      <c r="D34" s="55">
        <v>60</v>
      </c>
      <c r="H34">
        <v>0.26</v>
      </c>
      <c r="I34" t="s">
        <v>185</v>
      </c>
    </row>
    <row r="35" spans="2:9" ht="12.75">
      <c r="B35" s="53" t="s">
        <v>17</v>
      </c>
      <c r="C35" t="s">
        <v>59</v>
      </c>
      <c r="D35" s="55">
        <v>60</v>
      </c>
      <c r="H35">
        <f>15*0.717*0.26*2</f>
        <v>5.5926</v>
      </c>
      <c r="I35" t="s">
        <v>186</v>
      </c>
    </row>
    <row r="36" spans="2:4" ht="12.75">
      <c r="B36" s="53" t="s">
        <v>18</v>
      </c>
      <c r="C36" t="s">
        <v>60</v>
      </c>
      <c r="D36" s="55" t="s">
        <v>66</v>
      </c>
    </row>
    <row r="39" spans="6:16" ht="12.75">
      <c r="F39" s="82"/>
      <c r="G39" s="82"/>
      <c r="H39" s="34"/>
      <c r="I39" s="34"/>
      <c r="J39" s="34"/>
      <c r="K39" s="34"/>
      <c r="L39" s="34"/>
      <c r="M39" s="34"/>
      <c r="N39" s="34"/>
      <c r="O39" s="366"/>
      <c r="P39"/>
    </row>
    <row r="40" spans="6:16" ht="12.75">
      <c r="F40" s="82"/>
      <c r="G40" s="82"/>
      <c r="H40" s="34"/>
      <c r="I40" s="34"/>
      <c r="J40" s="34"/>
      <c r="K40" s="34"/>
      <c r="L40" s="34"/>
      <c r="M40" s="34"/>
      <c r="N40" s="34"/>
      <c r="O40" s="366"/>
      <c r="P40"/>
    </row>
    <row r="41" spans="6:16" ht="12.75">
      <c r="F41" s="82"/>
      <c r="G41" s="82"/>
      <c r="H41" s="34"/>
      <c r="I41" s="34"/>
      <c r="J41" s="34"/>
      <c r="K41" s="34"/>
      <c r="L41" s="34"/>
      <c r="M41" s="34"/>
      <c r="N41" s="34"/>
      <c r="O41" s="366"/>
      <c r="P41"/>
    </row>
    <row r="42" spans="6:16" ht="12.75">
      <c r="F42" s="82"/>
      <c r="G42" s="82"/>
      <c r="H42" s="34"/>
      <c r="I42" s="34"/>
      <c r="J42" s="34"/>
      <c r="K42" s="34"/>
      <c r="L42" s="34"/>
      <c r="M42" s="34"/>
      <c r="N42" s="34"/>
      <c r="O42" s="366"/>
      <c r="P42"/>
    </row>
    <row r="43" spans="6:16" ht="12.75">
      <c r="F43" s="82"/>
      <c r="G43" s="82"/>
      <c r="H43" s="34"/>
      <c r="I43" s="34"/>
      <c r="J43" s="34"/>
      <c r="K43" s="34"/>
      <c r="L43" s="34"/>
      <c r="M43" s="34"/>
      <c r="N43" s="34"/>
      <c r="O43" s="366"/>
      <c r="P43"/>
    </row>
    <row r="44" spans="6:16" ht="12.75">
      <c r="F44" s="82"/>
      <c r="G44" s="82"/>
      <c r="H44" s="34"/>
      <c r="I44" s="34"/>
      <c r="J44" s="34"/>
      <c r="K44" s="34"/>
      <c r="L44" s="34"/>
      <c r="M44" s="34"/>
      <c r="N44" s="34"/>
      <c r="O44" s="366"/>
      <c r="P44"/>
    </row>
    <row r="45" spans="6:16" ht="12.75">
      <c r="F45" s="82"/>
      <c r="G45" s="82"/>
      <c r="H45" s="34"/>
      <c r="I45" s="34"/>
      <c r="J45" s="34"/>
      <c r="K45" s="34"/>
      <c r="L45" s="34"/>
      <c r="M45" s="34"/>
      <c r="N45" s="34"/>
      <c r="O45" s="366"/>
      <c r="P45"/>
    </row>
    <row r="46" spans="6:16" ht="12.75">
      <c r="F46" s="82"/>
      <c r="G46" s="82"/>
      <c r="H46" s="34"/>
      <c r="I46" s="34"/>
      <c r="J46" s="34"/>
      <c r="K46" s="34"/>
      <c r="L46" s="34"/>
      <c r="M46" s="34"/>
      <c r="N46" s="34"/>
      <c r="O46" s="366"/>
      <c r="P46"/>
    </row>
    <row r="47" spans="6:16" ht="12.75">
      <c r="F47" s="82"/>
      <c r="G47" s="82"/>
      <c r="H47" s="34"/>
      <c r="I47" s="34"/>
      <c r="J47" s="34"/>
      <c r="K47" s="34"/>
      <c r="L47" s="34"/>
      <c r="M47" s="34"/>
      <c r="N47" s="34"/>
      <c r="O47" s="366"/>
      <c r="P47"/>
    </row>
    <row r="48" spans="6:16" ht="12.75">
      <c r="F48" s="82"/>
      <c r="G48" s="82"/>
      <c r="H48" s="34"/>
      <c r="I48" s="34"/>
      <c r="J48" s="34"/>
      <c r="K48" s="34"/>
      <c r="L48" s="34"/>
      <c r="M48" s="34"/>
      <c r="N48" s="34"/>
      <c r="O48" s="366"/>
      <c r="P48"/>
    </row>
    <row r="49" spans="6:16" ht="12.75">
      <c r="F49" s="82"/>
      <c r="G49" s="82"/>
      <c r="H49" s="34"/>
      <c r="I49" s="34"/>
      <c r="J49" s="34"/>
      <c r="K49" s="34"/>
      <c r="L49" s="34"/>
      <c r="M49" s="34"/>
      <c r="N49" s="34"/>
      <c r="O49" s="366"/>
      <c r="P49"/>
    </row>
    <row r="50" spans="6:16" ht="12.75">
      <c r="F50" s="82"/>
      <c r="G50" s="82"/>
      <c r="H50" s="34"/>
      <c r="I50" s="34"/>
      <c r="J50" s="34"/>
      <c r="K50" s="34"/>
      <c r="L50" s="34"/>
      <c r="M50" s="34"/>
      <c r="N50" s="34"/>
      <c r="O50" s="366"/>
      <c r="P50"/>
    </row>
    <row r="51" spans="6:16" ht="12.75">
      <c r="F51" s="82"/>
      <c r="G51" s="82"/>
      <c r="H51" s="34"/>
      <c r="I51" s="34"/>
      <c r="J51" s="34"/>
      <c r="K51" s="34"/>
      <c r="L51" s="34"/>
      <c r="M51" s="34"/>
      <c r="N51" s="34"/>
      <c r="O51" s="366"/>
      <c r="P51"/>
    </row>
    <row r="52" spans="6:16" ht="12.75">
      <c r="F52" s="82"/>
      <c r="G52" s="82"/>
      <c r="H52" s="34"/>
      <c r="I52" s="34"/>
      <c r="J52" s="34"/>
      <c r="K52" s="34"/>
      <c r="L52" s="34"/>
      <c r="M52" s="34"/>
      <c r="N52" s="34"/>
      <c r="O52" s="366"/>
      <c r="P52"/>
    </row>
    <row r="53" spans="6:16" ht="12.75">
      <c r="F53" s="82"/>
      <c r="G53" s="82"/>
      <c r="H53" s="34"/>
      <c r="I53" s="34"/>
      <c r="J53" s="34"/>
      <c r="K53" s="34"/>
      <c r="L53" s="34"/>
      <c r="M53" s="34"/>
      <c r="N53" s="34"/>
      <c r="O53" s="366"/>
      <c r="P53"/>
    </row>
    <row r="54" spans="6:16" ht="12.75">
      <c r="F54" s="82"/>
      <c r="G54" s="82"/>
      <c r="H54" s="34"/>
      <c r="I54" s="34"/>
      <c r="J54" s="34"/>
      <c r="K54" s="34"/>
      <c r="L54" s="34"/>
      <c r="M54" s="34"/>
      <c r="N54" s="34"/>
      <c r="O54" s="366"/>
      <c r="P54"/>
    </row>
    <row r="55" spans="6:16" ht="12.75">
      <c r="F55" s="82"/>
      <c r="G55" s="82"/>
      <c r="H55" s="34"/>
      <c r="I55" s="34"/>
      <c r="J55" s="34"/>
      <c r="K55" s="34"/>
      <c r="L55" s="34"/>
      <c r="M55" s="34"/>
      <c r="N55" s="34"/>
      <c r="O55" s="366"/>
      <c r="P55"/>
    </row>
    <row r="56" spans="6:16" ht="12.75">
      <c r="F56" s="82"/>
      <c r="G56" s="34"/>
      <c r="H56" s="34"/>
      <c r="I56" s="34"/>
      <c r="J56" s="34"/>
      <c r="K56" s="34"/>
      <c r="L56" s="34"/>
      <c r="M56" s="34"/>
      <c r="N56" s="34"/>
      <c r="O56" s="366"/>
      <c r="P56"/>
    </row>
    <row r="57" spans="6:15" ht="12.75">
      <c r="F57" s="34"/>
      <c r="G57" s="34"/>
      <c r="H57" s="34"/>
      <c r="I57" s="34"/>
      <c r="J57" s="34"/>
      <c r="K57" s="34"/>
      <c r="L57" s="34"/>
      <c r="M57" s="34"/>
      <c r="N57" s="34"/>
      <c r="O57" s="34"/>
    </row>
  </sheetData>
  <mergeCells count="3">
    <mergeCell ref="D4:F4"/>
    <mergeCell ref="G4:I4"/>
    <mergeCell ref="D3:J3"/>
  </mergeCells>
  <conditionalFormatting sqref="T7:T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S7:S27">
    <cfRule type="cellIs" priority="4" dxfId="3" operator="equal" stopIfTrue="1">
      <formula>0</formula>
    </cfRule>
  </conditionalFormatting>
  <printOptions/>
  <pageMargins left="0.2" right="0.23" top="0.49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75" zoomScaleNormal="75" workbookViewId="0" topLeftCell="B1">
      <selection activeCell="L40" sqref="L40"/>
    </sheetView>
  </sheetViews>
  <sheetFormatPr defaultColWidth="9.140625" defaultRowHeight="12.75"/>
  <cols>
    <col min="1" max="1" width="0" style="0" hidden="1" customWidth="1"/>
    <col min="2" max="2" width="10.140625" style="0" bestFit="1" customWidth="1"/>
    <col min="3" max="3" width="43.7109375" style="0" bestFit="1" customWidth="1"/>
    <col min="4" max="10" width="8.28125" style="0" customWidth="1"/>
    <col min="11" max="12" width="6.7109375" style="0" customWidth="1"/>
    <col min="13" max="13" width="4.00390625" style="0" bestFit="1" customWidth="1"/>
    <col min="14" max="17" width="6.7109375" style="0" customWidth="1"/>
    <col min="18" max="18" width="7.140625" style="0" customWidth="1"/>
    <col min="19" max="19" width="8.140625" style="0" bestFit="1" customWidth="1"/>
    <col min="20" max="20" width="8.57421875" style="0" bestFit="1" customWidth="1"/>
  </cols>
  <sheetData>
    <row r="1" spans="2:18" ht="45">
      <c r="B1" s="97" t="s">
        <v>128</v>
      </c>
      <c r="C1" s="84"/>
      <c r="K1" s="84"/>
      <c r="L1" s="84"/>
      <c r="M1" s="84"/>
      <c r="N1" s="84"/>
      <c r="O1" s="84"/>
      <c r="P1" s="84"/>
      <c r="Q1" s="84"/>
      <c r="R1" s="149"/>
    </row>
    <row r="2" spans="4:18" ht="13.5" thickBot="1">
      <c r="D2" s="87"/>
      <c r="E2" s="87"/>
      <c r="F2" s="87"/>
      <c r="G2" s="87"/>
      <c r="H2" s="87"/>
      <c r="I2" s="87"/>
      <c r="J2" s="103"/>
      <c r="R2" s="70"/>
    </row>
    <row r="3" spans="2:20" ht="13.5" thickBot="1">
      <c r="B3" s="40"/>
      <c r="C3" s="41"/>
      <c r="D3" s="404" t="s">
        <v>92</v>
      </c>
      <c r="E3" s="405"/>
      <c r="F3" s="405"/>
      <c r="G3" s="405"/>
      <c r="H3" s="405"/>
      <c r="I3" s="405"/>
      <c r="J3" s="406"/>
      <c r="K3" s="131"/>
      <c r="L3" s="42"/>
      <c r="M3" s="42"/>
      <c r="N3" s="42" t="s">
        <v>9</v>
      </c>
      <c r="O3" s="42"/>
      <c r="P3" s="42"/>
      <c r="Q3" s="43"/>
      <c r="R3" s="44"/>
      <c r="S3" s="42" t="s">
        <v>0</v>
      </c>
      <c r="T3" s="45" t="s">
        <v>0</v>
      </c>
    </row>
    <row r="4" spans="2:20" ht="16.5" thickBot="1">
      <c r="B4" s="8" t="s">
        <v>6</v>
      </c>
      <c r="C4" s="9" t="s">
        <v>93</v>
      </c>
      <c r="D4" s="401" t="s">
        <v>194</v>
      </c>
      <c r="E4" s="402"/>
      <c r="F4" s="403"/>
      <c r="G4" s="401" t="s">
        <v>193</v>
      </c>
      <c r="H4" s="402"/>
      <c r="I4" s="403"/>
      <c r="J4" s="137" t="s">
        <v>71</v>
      </c>
      <c r="K4" s="130"/>
      <c r="L4" s="112"/>
      <c r="M4" s="112"/>
      <c r="N4" s="112" t="s">
        <v>10</v>
      </c>
      <c r="O4" s="112"/>
      <c r="P4" s="112"/>
      <c r="Q4" s="106"/>
      <c r="R4" s="46"/>
      <c r="S4" s="47" t="s">
        <v>2</v>
      </c>
      <c r="T4" s="46" t="s">
        <v>3</v>
      </c>
    </row>
    <row r="5" spans="2:20" ht="16.5" thickBot="1">
      <c r="B5" s="8" t="s">
        <v>7</v>
      </c>
      <c r="C5" s="34"/>
      <c r="D5" s="54" t="s">
        <v>68</v>
      </c>
      <c r="E5" s="108" t="s">
        <v>69</v>
      </c>
      <c r="F5" s="109" t="s">
        <v>72</v>
      </c>
      <c r="G5" s="54" t="s">
        <v>68</v>
      </c>
      <c r="H5" s="108" t="s">
        <v>69</v>
      </c>
      <c r="I5" s="109" t="s">
        <v>72</v>
      </c>
      <c r="J5" s="108" t="s">
        <v>44</v>
      </c>
      <c r="K5" s="407" t="s">
        <v>11</v>
      </c>
      <c r="L5" s="408"/>
      <c r="M5" s="408"/>
      <c r="N5" s="408"/>
      <c r="O5" s="408"/>
      <c r="P5" s="409"/>
      <c r="Q5" s="81" t="s">
        <v>61</v>
      </c>
      <c r="R5" s="48" t="s">
        <v>12</v>
      </c>
      <c r="S5" s="49" t="s">
        <v>3</v>
      </c>
      <c r="T5" s="46" t="s">
        <v>5</v>
      </c>
    </row>
    <row r="6" spans="2:20" ht="15.75" thickBot="1">
      <c r="B6" s="30"/>
      <c r="C6" s="36"/>
      <c r="D6" s="107"/>
      <c r="E6" s="105"/>
      <c r="F6" s="105"/>
      <c r="G6" s="105"/>
      <c r="H6" s="105"/>
      <c r="I6" s="105"/>
      <c r="J6" s="110" t="s">
        <v>72</v>
      </c>
      <c r="K6" s="32" t="s">
        <v>13</v>
      </c>
      <c r="L6" s="32" t="s">
        <v>14</v>
      </c>
      <c r="M6" s="28" t="s">
        <v>62</v>
      </c>
      <c r="N6" s="31" t="s">
        <v>15</v>
      </c>
      <c r="O6" s="31" t="s">
        <v>16</v>
      </c>
      <c r="P6" s="31" t="s">
        <v>17</v>
      </c>
      <c r="Q6" s="28" t="s">
        <v>18</v>
      </c>
      <c r="R6" s="48" t="s">
        <v>19</v>
      </c>
      <c r="S6" s="49" t="s">
        <v>4</v>
      </c>
      <c r="T6" s="38" t="s">
        <v>131</v>
      </c>
    </row>
    <row r="7" spans="2:20" ht="15">
      <c r="B7" s="169">
        <f>'Team list - 2003'!A5</f>
        <v>1</v>
      </c>
      <c r="C7" s="170" t="str">
        <f>'Team list - 2003'!B5</f>
        <v>University of Wollongong</v>
      </c>
      <c r="D7" s="190">
        <v>0</v>
      </c>
      <c r="E7" s="238">
        <v>785.383</v>
      </c>
      <c r="F7" s="229">
        <f>IF(D7="","",D7*60+E7)</f>
        <v>785.383</v>
      </c>
      <c r="G7" s="190">
        <v>0</v>
      </c>
      <c r="H7" s="238">
        <v>796.9696</v>
      </c>
      <c r="I7" s="229">
        <f>IF(G7="","",G7*60+H7)</f>
        <v>796.9696</v>
      </c>
      <c r="J7" s="229">
        <f>IF(F7="","",F7+I7)</f>
        <v>1582.3526000000002</v>
      </c>
      <c r="K7" s="236"/>
      <c r="L7" s="236"/>
      <c r="M7" s="190"/>
      <c r="N7" s="238"/>
      <c r="O7" s="190"/>
      <c r="P7" s="236"/>
      <c r="Q7" s="236"/>
      <c r="R7" s="250">
        <f>IF(Q7="",IF(J7="","",J7+(K7*DOO)+(L7*OC)+(M7*OO)+(N7*PFE)+(O7*FYF)+(P7*OD)),"-")</f>
        <v>1582.3526000000002</v>
      </c>
      <c r="S7" s="189">
        <f>IF(R7="","",IF(R7&gt;Tmax,0,IF(Q7="",(300*(((Tmax/R7)-1)/((Tmax/Tmin)-1))+50),0)))</f>
        <v>243.2541369895216</v>
      </c>
      <c r="T7" s="191">
        <f aca="true" t="shared" si="0" ref="T7:T27">IF(S7="","",RANK(S7,$S$7:$S$27))</f>
        <v>4</v>
      </c>
    </row>
    <row r="8" spans="2:23" ht="15">
      <c r="B8" s="173">
        <f>'Team list - 2003'!A6</f>
        <v>2</v>
      </c>
      <c r="C8" s="207" t="str">
        <f>'Team list - 2003'!B6</f>
        <v>University of Western Australia</v>
      </c>
      <c r="D8" s="194">
        <v>0</v>
      </c>
      <c r="E8" s="241">
        <v>740.747456</v>
      </c>
      <c r="F8" s="251">
        <f aca="true" t="shared" si="1" ref="F8:F27">IF(D8="","",D8*60+E8)</f>
        <v>740.747456</v>
      </c>
      <c r="G8" s="194">
        <v>0</v>
      </c>
      <c r="H8" s="241">
        <f>1200.9207+761.9447</f>
        <v>1962.8654</v>
      </c>
      <c r="I8" s="251">
        <f aca="true" t="shared" si="2" ref="I8:I27">IF(G8="","",G8*60+H8)</f>
        <v>1962.8654</v>
      </c>
      <c r="J8" s="251">
        <f aca="true" t="shared" si="3" ref="J8:J27">IF(F8="","",F8+I8)</f>
        <v>2703.6128559999997</v>
      </c>
      <c r="K8" s="239">
        <f>1+2+4+2+3</f>
        <v>12</v>
      </c>
      <c r="L8" s="239">
        <f>1+1</f>
        <v>2</v>
      </c>
      <c r="M8" s="194"/>
      <c r="N8" s="241">
        <v>1</v>
      </c>
      <c r="O8" s="194"/>
      <c r="P8" s="239"/>
      <c r="Q8" s="239"/>
      <c r="R8" s="252">
        <f aca="true" t="shared" si="4" ref="R8:R27">IF(Q8="",IF(J8="","",J8+(K8*DOO)+(L8*OC)+(M8*OO)+(N8*PFE)+(O8*FYF)+(P8*OD)),"-")</f>
        <v>3007.6128559999997</v>
      </c>
      <c r="S8" s="193">
        <f aca="true" t="shared" si="5" ref="S8:S27">IF(R8="","",IF(R8&gt;Tmax,0,IF(Q8="",(300*(((Tmax/R8)-1)/((Tmax/Tmin)-1))+50),0)))</f>
        <v>0</v>
      </c>
      <c r="T8" s="195">
        <f t="shared" si="0"/>
        <v>10</v>
      </c>
      <c r="V8" s="111"/>
      <c r="W8" s="111"/>
    </row>
    <row r="9" spans="2:20" ht="15">
      <c r="B9" s="173">
        <f>'Team list - 2003'!A7</f>
        <v>3</v>
      </c>
      <c r="C9" s="207" t="str">
        <f>'Team list - 2003'!B7</f>
        <v>University of Sydney</v>
      </c>
      <c r="D9" s="194">
        <v>0</v>
      </c>
      <c r="E9" s="241">
        <v>917.0143</v>
      </c>
      <c r="F9" s="251">
        <f t="shared" si="1"/>
        <v>917.0143</v>
      </c>
      <c r="G9" s="194">
        <v>0</v>
      </c>
      <c r="H9" s="241">
        <v>910.2493</v>
      </c>
      <c r="I9" s="251">
        <f t="shared" si="2"/>
        <v>910.2493</v>
      </c>
      <c r="J9" s="251">
        <f t="shared" si="3"/>
        <v>1827.2636</v>
      </c>
      <c r="K9" s="239">
        <f>5+1+4</f>
        <v>10</v>
      </c>
      <c r="L9" s="239">
        <f>1+2</f>
        <v>3</v>
      </c>
      <c r="M9" s="194"/>
      <c r="N9" s="241"/>
      <c r="O9" s="194"/>
      <c r="P9" s="239"/>
      <c r="Q9" s="239"/>
      <c r="R9" s="252">
        <f t="shared" si="4"/>
        <v>1907.2636</v>
      </c>
      <c r="S9" s="193">
        <f t="shared" si="5"/>
        <v>56.85986641464413</v>
      </c>
      <c r="T9" s="195">
        <f t="shared" si="0"/>
        <v>9</v>
      </c>
    </row>
    <row r="10" spans="2:20" ht="15">
      <c r="B10" s="173">
        <f>'Team list - 2003'!A8</f>
        <v>4</v>
      </c>
      <c r="C10" s="207" t="str">
        <f>'Team list - 2003'!B8</f>
        <v>Swinburne University of Technology</v>
      </c>
      <c r="D10" s="194">
        <v>0</v>
      </c>
      <c r="E10" s="359">
        <v>10000</v>
      </c>
      <c r="F10" s="251">
        <f t="shared" si="1"/>
        <v>10000</v>
      </c>
      <c r="G10" s="194">
        <v>0</v>
      </c>
      <c r="H10" s="359">
        <v>10000</v>
      </c>
      <c r="I10" s="251">
        <f t="shared" si="2"/>
        <v>10000</v>
      </c>
      <c r="J10" s="251">
        <f t="shared" si="3"/>
        <v>20000</v>
      </c>
      <c r="K10" s="239"/>
      <c r="L10" s="239"/>
      <c r="M10" s="194"/>
      <c r="N10" s="241"/>
      <c r="O10" s="194"/>
      <c r="P10" s="239"/>
      <c r="Q10" s="239"/>
      <c r="R10" s="252">
        <f t="shared" si="4"/>
        <v>20000</v>
      </c>
      <c r="S10" s="193">
        <f t="shared" si="5"/>
        <v>0</v>
      </c>
      <c r="T10" s="195">
        <f t="shared" si="0"/>
        <v>10</v>
      </c>
    </row>
    <row r="11" spans="2:20" ht="15">
      <c r="B11" s="173">
        <f>'Team list - 2003'!A9</f>
        <v>5</v>
      </c>
      <c r="C11" s="207" t="str">
        <f>'Team list - 2003'!B9</f>
        <v>Rochester Institute of Technology, USA</v>
      </c>
      <c r="D11" s="194">
        <v>0</v>
      </c>
      <c r="E11" s="241">
        <v>803.8041</v>
      </c>
      <c r="F11" s="251">
        <f t="shared" si="1"/>
        <v>803.8041</v>
      </c>
      <c r="G11" s="194">
        <v>0</v>
      </c>
      <c r="H11" s="241">
        <v>742.9469</v>
      </c>
      <c r="I11" s="251">
        <f t="shared" si="2"/>
        <v>742.9469</v>
      </c>
      <c r="J11" s="251">
        <f t="shared" si="3"/>
        <v>1546.751</v>
      </c>
      <c r="K11" s="239">
        <f>2</f>
        <v>2</v>
      </c>
      <c r="L11" s="239"/>
      <c r="M11" s="194"/>
      <c r="N11" s="241"/>
      <c r="O11" s="194"/>
      <c r="P11" s="239"/>
      <c r="Q11" s="239"/>
      <c r="R11" s="252">
        <f t="shared" si="4"/>
        <v>1550.751</v>
      </c>
      <c r="S11" s="193">
        <f t="shared" si="5"/>
        <v>265.5511078413207</v>
      </c>
      <c r="T11" s="195">
        <f t="shared" si="0"/>
        <v>3</v>
      </c>
    </row>
    <row r="12" spans="2:22" s="156" customFormat="1" ht="30">
      <c r="B12" s="173">
        <f>'Team list - 2003'!A10</f>
        <v>6</v>
      </c>
      <c r="C12" s="207" t="str">
        <f>'Team list - 2003'!B10</f>
        <v>Australian National University &amp; Canberra Institute of Technology</v>
      </c>
      <c r="D12" s="197">
        <v>0</v>
      </c>
      <c r="E12" s="359">
        <v>10000</v>
      </c>
      <c r="F12" s="253">
        <f t="shared" si="1"/>
        <v>10000</v>
      </c>
      <c r="G12" s="197">
        <v>0</v>
      </c>
      <c r="H12" s="359">
        <v>10000</v>
      </c>
      <c r="I12" s="253">
        <f t="shared" si="2"/>
        <v>10000</v>
      </c>
      <c r="J12" s="253">
        <f t="shared" si="3"/>
        <v>20000</v>
      </c>
      <c r="K12" s="242"/>
      <c r="L12" s="242"/>
      <c r="M12" s="197"/>
      <c r="N12" s="244"/>
      <c r="O12" s="197"/>
      <c r="P12" s="242"/>
      <c r="Q12" s="242"/>
      <c r="R12" s="254">
        <f t="shared" si="4"/>
        <v>20000</v>
      </c>
      <c r="S12" s="196">
        <f t="shared" si="5"/>
        <v>0</v>
      </c>
      <c r="T12" s="198">
        <f t="shared" si="0"/>
        <v>10</v>
      </c>
      <c r="V12" s="165"/>
    </row>
    <row r="13" spans="2:22" ht="15">
      <c r="B13" s="173">
        <f>'Team list - 2003'!A11</f>
        <v>8</v>
      </c>
      <c r="C13" s="207" t="str">
        <f>'Team list - 2003'!B11</f>
        <v>University of Technology, Sydney</v>
      </c>
      <c r="D13" s="194">
        <v>0</v>
      </c>
      <c r="E13" s="359">
        <v>10000</v>
      </c>
      <c r="F13" s="251">
        <f t="shared" si="1"/>
        <v>10000</v>
      </c>
      <c r="G13" s="194">
        <v>0</v>
      </c>
      <c r="H13" s="359">
        <v>10000</v>
      </c>
      <c r="I13" s="251">
        <f t="shared" si="2"/>
        <v>10000</v>
      </c>
      <c r="J13" s="251">
        <f t="shared" si="3"/>
        <v>20000</v>
      </c>
      <c r="K13" s="239"/>
      <c r="L13" s="239"/>
      <c r="M13" s="194"/>
      <c r="N13" s="241"/>
      <c r="O13" s="194"/>
      <c r="P13" s="239"/>
      <c r="Q13" s="239"/>
      <c r="R13" s="252">
        <f t="shared" si="4"/>
        <v>20000</v>
      </c>
      <c r="S13" s="193">
        <f t="shared" si="5"/>
        <v>0</v>
      </c>
      <c r="T13" s="195">
        <f t="shared" si="0"/>
        <v>10</v>
      </c>
      <c r="V13" s="111"/>
    </row>
    <row r="14" spans="2:22" ht="15">
      <c r="B14" s="173">
        <f>'Team list - 2003'!A12</f>
        <v>9</v>
      </c>
      <c r="C14" s="207" t="str">
        <f>'Team list - 2003'!B12</f>
        <v>The University of Adelaide</v>
      </c>
      <c r="D14" s="194">
        <v>0</v>
      </c>
      <c r="E14" s="359">
        <v>10000</v>
      </c>
      <c r="F14" s="251">
        <f t="shared" si="1"/>
        <v>10000</v>
      </c>
      <c r="G14" s="194">
        <v>0</v>
      </c>
      <c r="H14" s="359">
        <v>10000</v>
      </c>
      <c r="I14" s="251">
        <f t="shared" si="2"/>
        <v>10000</v>
      </c>
      <c r="J14" s="251">
        <f t="shared" si="3"/>
        <v>20000</v>
      </c>
      <c r="K14" s="239">
        <f>2</f>
        <v>2</v>
      </c>
      <c r="L14" s="239"/>
      <c r="M14" s="194"/>
      <c r="N14" s="241"/>
      <c r="O14" s="194"/>
      <c r="P14" s="239"/>
      <c r="Q14" s="239"/>
      <c r="R14" s="252">
        <f t="shared" si="4"/>
        <v>20004</v>
      </c>
      <c r="S14" s="193">
        <f t="shared" si="5"/>
        <v>0</v>
      </c>
      <c r="T14" s="195">
        <f t="shared" si="0"/>
        <v>10</v>
      </c>
      <c r="V14" s="111"/>
    </row>
    <row r="15" spans="2:22" ht="15">
      <c r="B15" s="173">
        <f>'Team list - 2003'!A13</f>
        <v>11</v>
      </c>
      <c r="C15" s="207" t="str">
        <f>'Team list - 2003'!B13</f>
        <v>Auburn University, USA</v>
      </c>
      <c r="D15" s="194">
        <v>0</v>
      </c>
      <c r="E15" s="241">
        <v>716.2813</v>
      </c>
      <c r="F15" s="251">
        <f t="shared" si="1"/>
        <v>716.2813</v>
      </c>
      <c r="G15" s="194">
        <v>0</v>
      </c>
      <c r="H15" s="241">
        <v>717.4189</v>
      </c>
      <c r="I15" s="251">
        <f t="shared" si="2"/>
        <v>717.4189</v>
      </c>
      <c r="J15" s="251">
        <f t="shared" si="3"/>
        <v>1433.7002</v>
      </c>
      <c r="K15" s="239">
        <f>1+1+1+1</f>
        <v>4</v>
      </c>
      <c r="L15" s="239"/>
      <c r="M15" s="194"/>
      <c r="N15" s="241"/>
      <c r="O15" s="194"/>
      <c r="P15" s="239"/>
      <c r="Q15" s="239"/>
      <c r="R15" s="252">
        <f t="shared" si="4"/>
        <v>1441.7002</v>
      </c>
      <c r="S15" s="193">
        <f t="shared" si="5"/>
        <v>350</v>
      </c>
      <c r="T15" s="195">
        <f t="shared" si="0"/>
        <v>1</v>
      </c>
      <c r="V15" s="111"/>
    </row>
    <row r="16" spans="2:22" ht="15">
      <c r="B16" s="173">
        <f>'Team list - 2003'!A14</f>
        <v>14</v>
      </c>
      <c r="C16" s="207" t="str">
        <f>'Team list - 2003'!B14</f>
        <v>Curtin University of Technology</v>
      </c>
      <c r="D16" s="194">
        <v>0</v>
      </c>
      <c r="E16" s="359">
        <v>10000</v>
      </c>
      <c r="F16" s="251">
        <f t="shared" si="1"/>
        <v>10000</v>
      </c>
      <c r="G16" s="194">
        <v>0</v>
      </c>
      <c r="H16" s="359">
        <v>10000</v>
      </c>
      <c r="I16" s="251">
        <f t="shared" si="2"/>
        <v>10000</v>
      </c>
      <c r="J16" s="251">
        <f t="shared" si="3"/>
        <v>20000</v>
      </c>
      <c r="K16" s="239">
        <f>1+1+3+1+7+1+7+1</f>
        <v>22</v>
      </c>
      <c r="L16" s="239"/>
      <c r="M16" s="194"/>
      <c r="N16" s="241"/>
      <c r="O16" s="194"/>
      <c r="P16" s="239"/>
      <c r="Q16" s="239"/>
      <c r="R16" s="252">
        <f t="shared" si="4"/>
        <v>20044</v>
      </c>
      <c r="S16" s="193">
        <f t="shared" si="5"/>
        <v>0</v>
      </c>
      <c r="T16" s="195">
        <f t="shared" si="0"/>
        <v>10</v>
      </c>
      <c r="V16" s="111"/>
    </row>
    <row r="17" spans="2:20" ht="15">
      <c r="B17" s="173">
        <f>'Team list - 2003'!A15</f>
        <v>18</v>
      </c>
      <c r="C17" s="207" t="str">
        <f>'Team list - 2003'!B15</f>
        <v>University of Melbourne</v>
      </c>
      <c r="D17" s="194">
        <v>0</v>
      </c>
      <c r="E17" s="359">
        <v>10000</v>
      </c>
      <c r="F17" s="251">
        <f t="shared" si="1"/>
        <v>10000</v>
      </c>
      <c r="G17" s="194">
        <v>0</v>
      </c>
      <c r="H17" s="359">
        <v>10000</v>
      </c>
      <c r="I17" s="251">
        <f t="shared" si="2"/>
        <v>10000</v>
      </c>
      <c r="J17" s="251">
        <f t="shared" si="3"/>
        <v>20000</v>
      </c>
      <c r="K17" s="239"/>
      <c r="L17" s="239"/>
      <c r="M17" s="194"/>
      <c r="N17" s="241"/>
      <c r="O17" s="194"/>
      <c r="P17" s="239"/>
      <c r="Q17" s="239"/>
      <c r="R17" s="252">
        <f t="shared" si="4"/>
        <v>20000</v>
      </c>
      <c r="S17" s="193">
        <f t="shared" si="5"/>
        <v>0</v>
      </c>
      <c r="T17" s="195">
        <f t="shared" si="0"/>
        <v>10</v>
      </c>
    </row>
    <row r="18" spans="2:22" ht="15">
      <c r="B18" s="173">
        <f>'Team list - 2003'!A16</f>
        <v>19</v>
      </c>
      <c r="C18" s="207" t="str">
        <f>'Team list - 2003'!B16</f>
        <v>University of Braunschweig, GERMANY</v>
      </c>
      <c r="D18" s="194">
        <v>0</v>
      </c>
      <c r="E18" s="359">
        <v>10000</v>
      </c>
      <c r="F18" s="251">
        <f t="shared" si="1"/>
        <v>10000</v>
      </c>
      <c r="G18" s="194">
        <v>0</v>
      </c>
      <c r="H18" s="359">
        <v>10000</v>
      </c>
      <c r="I18" s="251">
        <f t="shared" si="2"/>
        <v>10000</v>
      </c>
      <c r="J18" s="251">
        <f t="shared" si="3"/>
        <v>20000</v>
      </c>
      <c r="K18" s="239">
        <f>1</f>
        <v>1</v>
      </c>
      <c r="L18" s="239"/>
      <c r="M18" s="194"/>
      <c r="N18" s="241"/>
      <c r="O18" s="194"/>
      <c r="P18" s="239"/>
      <c r="Q18" s="239"/>
      <c r="R18" s="252">
        <f t="shared" si="4"/>
        <v>20002</v>
      </c>
      <c r="S18" s="193">
        <f t="shared" si="5"/>
        <v>0</v>
      </c>
      <c r="T18" s="195">
        <f t="shared" si="0"/>
        <v>10</v>
      </c>
      <c r="V18" s="111"/>
    </row>
    <row r="19" spans="2:21" ht="15">
      <c r="B19" s="173">
        <f>'Team list - 2003'!A17</f>
        <v>21</v>
      </c>
      <c r="C19" s="207" t="str">
        <f>'Team list - 2003'!B17</f>
        <v>Tokyo Denki University, JAPAN </v>
      </c>
      <c r="D19" s="194">
        <v>0</v>
      </c>
      <c r="E19" s="359">
        <v>10000</v>
      </c>
      <c r="F19" s="251">
        <f t="shared" si="1"/>
        <v>10000</v>
      </c>
      <c r="G19" s="194">
        <v>0</v>
      </c>
      <c r="H19" s="359">
        <v>10000</v>
      </c>
      <c r="I19" s="251">
        <f t="shared" si="2"/>
        <v>10000</v>
      </c>
      <c r="J19" s="251">
        <f t="shared" si="3"/>
        <v>20000</v>
      </c>
      <c r="K19" s="239"/>
      <c r="L19" s="239"/>
      <c r="M19" s="194"/>
      <c r="N19" s="241"/>
      <c r="O19" s="194"/>
      <c r="P19" s="239"/>
      <c r="Q19" s="239"/>
      <c r="R19" s="252">
        <f t="shared" si="4"/>
        <v>20000</v>
      </c>
      <c r="S19" s="193">
        <f t="shared" si="5"/>
        <v>0</v>
      </c>
      <c r="T19" s="195">
        <f t="shared" si="0"/>
        <v>10</v>
      </c>
      <c r="U19" t="s">
        <v>188</v>
      </c>
    </row>
    <row r="20" spans="2:22" ht="15">
      <c r="B20" s="173">
        <f>'Team list - 2003'!A18</f>
        <v>23</v>
      </c>
      <c r="C20" s="207" t="str">
        <f>'Team list - 2003'!B18</f>
        <v>Deakin University</v>
      </c>
      <c r="D20" s="194">
        <v>0</v>
      </c>
      <c r="E20" s="241">
        <v>853.269</v>
      </c>
      <c r="F20" s="251">
        <f t="shared" si="1"/>
        <v>853.269</v>
      </c>
      <c r="G20" s="194">
        <v>0</v>
      </c>
      <c r="H20" s="241">
        <v>899.3277</v>
      </c>
      <c r="I20" s="251">
        <f t="shared" si="2"/>
        <v>899.3277</v>
      </c>
      <c r="J20" s="251">
        <f t="shared" si="3"/>
        <v>1752.5967</v>
      </c>
      <c r="K20" s="239">
        <f>1+1</f>
        <v>2</v>
      </c>
      <c r="L20" s="239"/>
      <c r="M20" s="194"/>
      <c r="N20" s="241">
        <v>1</v>
      </c>
      <c r="O20" s="194"/>
      <c r="P20" s="239"/>
      <c r="Q20" s="239"/>
      <c r="R20" s="252">
        <f t="shared" si="4"/>
        <v>1996.5967</v>
      </c>
      <c r="S20" s="193">
        <f t="shared" si="5"/>
        <v>0</v>
      </c>
      <c r="T20" s="195">
        <f t="shared" si="0"/>
        <v>10</v>
      </c>
      <c r="V20" s="111"/>
    </row>
    <row r="21" spans="2:22" ht="15">
      <c r="B21" s="173">
        <f>'Team list - 2003'!A19</f>
        <v>31</v>
      </c>
      <c r="C21" s="207" t="str">
        <f>'Team list - 2003'!B19</f>
        <v>Georgia Institute of Technology, USA</v>
      </c>
      <c r="D21" s="194">
        <v>0</v>
      </c>
      <c r="E21" s="241">
        <v>715.519</v>
      </c>
      <c r="F21" s="251">
        <f t="shared" si="1"/>
        <v>715.519</v>
      </c>
      <c r="G21" s="194">
        <v>0</v>
      </c>
      <c r="H21" s="241">
        <v>731.5107</v>
      </c>
      <c r="I21" s="251">
        <f t="shared" si="2"/>
        <v>731.5107</v>
      </c>
      <c r="J21" s="251">
        <f t="shared" si="3"/>
        <v>1447.0297</v>
      </c>
      <c r="K21" s="239">
        <f>1</f>
        <v>1</v>
      </c>
      <c r="L21" s="239">
        <f>1</f>
        <v>1</v>
      </c>
      <c r="M21" s="194"/>
      <c r="N21" s="241"/>
      <c r="O21" s="194"/>
      <c r="P21" s="239"/>
      <c r="Q21" s="239"/>
      <c r="R21" s="252">
        <f t="shared" si="4"/>
        <v>1469.0297</v>
      </c>
      <c r="S21" s="193">
        <f t="shared" si="5"/>
        <v>327.6587082132028</v>
      </c>
      <c r="T21" s="195">
        <f t="shared" si="0"/>
        <v>2</v>
      </c>
      <c r="V21" s="111"/>
    </row>
    <row r="22" spans="2:20" ht="15">
      <c r="B22" s="173">
        <f>'Team list - 2003'!A20</f>
        <v>35</v>
      </c>
      <c r="C22" s="207" t="str">
        <f>'Team list - 2003'!B20</f>
        <v>Chalmers University, SWEDEN </v>
      </c>
      <c r="D22" s="194">
        <v>0</v>
      </c>
      <c r="E22" s="241">
        <v>811.3327</v>
      </c>
      <c r="F22" s="251">
        <f t="shared" si="1"/>
        <v>811.3327</v>
      </c>
      <c r="G22" s="194">
        <v>0</v>
      </c>
      <c r="H22" s="241">
        <v>945.7247</v>
      </c>
      <c r="I22" s="251">
        <f t="shared" si="2"/>
        <v>945.7247</v>
      </c>
      <c r="J22" s="251">
        <f t="shared" si="3"/>
        <v>1757.0574000000001</v>
      </c>
      <c r="K22" s="239">
        <f>3+1+7+4+4+2</f>
        <v>21</v>
      </c>
      <c r="L22" s="239">
        <f>1+1+3</f>
        <v>5</v>
      </c>
      <c r="M22" s="194"/>
      <c r="N22" s="241"/>
      <c r="O22" s="194"/>
      <c r="P22" s="239"/>
      <c r="Q22" s="239"/>
      <c r="R22" s="252">
        <f t="shared" si="4"/>
        <v>1899.0574000000001</v>
      </c>
      <c r="S22" s="193">
        <f t="shared" si="5"/>
        <v>60.782478974298535</v>
      </c>
      <c r="T22" s="195">
        <f t="shared" si="0"/>
        <v>8</v>
      </c>
    </row>
    <row r="23" spans="2:20" ht="15">
      <c r="B23" s="173">
        <f>'Team list - 2003'!A21</f>
        <v>41</v>
      </c>
      <c r="C23" s="207" t="str">
        <f>'Team list - 2003'!B21</f>
        <v>University of Queensland</v>
      </c>
      <c r="D23" s="194">
        <v>0</v>
      </c>
      <c r="E23" s="241">
        <v>768.3098</v>
      </c>
      <c r="F23" s="251">
        <f t="shared" si="1"/>
        <v>768.3098</v>
      </c>
      <c r="G23" s="194">
        <v>0</v>
      </c>
      <c r="H23" s="241">
        <v>808.6951</v>
      </c>
      <c r="I23" s="251">
        <f t="shared" si="2"/>
        <v>808.6951</v>
      </c>
      <c r="J23" s="251">
        <f t="shared" si="3"/>
        <v>1577.0049</v>
      </c>
      <c r="K23" s="239">
        <f>1+1+2+1</f>
        <v>5</v>
      </c>
      <c r="L23" s="239"/>
      <c r="M23" s="194"/>
      <c r="N23" s="241"/>
      <c r="O23" s="194"/>
      <c r="P23" s="239"/>
      <c r="Q23" s="239"/>
      <c r="R23" s="252">
        <f t="shared" si="4"/>
        <v>1587.0049</v>
      </c>
      <c r="S23" s="193">
        <f t="shared" si="5"/>
        <v>240.04662484965527</v>
      </c>
      <c r="T23" s="195">
        <f t="shared" si="0"/>
        <v>5</v>
      </c>
    </row>
    <row r="24" spans="2:22" ht="15">
      <c r="B24" s="173">
        <f>'Team list - 2003'!A22</f>
        <v>44</v>
      </c>
      <c r="C24" s="207" t="str">
        <f>'Team list - 2003'!B22</f>
        <v>University of Newcastle</v>
      </c>
      <c r="D24" s="194">
        <v>0</v>
      </c>
      <c r="E24" s="359">
        <v>10000</v>
      </c>
      <c r="F24" s="251">
        <f t="shared" si="1"/>
        <v>10000</v>
      </c>
      <c r="G24" s="194">
        <v>0</v>
      </c>
      <c r="H24" s="359">
        <v>10000</v>
      </c>
      <c r="I24" s="251">
        <f t="shared" si="2"/>
        <v>10000</v>
      </c>
      <c r="J24" s="251">
        <f t="shared" si="3"/>
        <v>20000</v>
      </c>
      <c r="K24" s="239"/>
      <c r="L24" s="239"/>
      <c r="M24" s="194"/>
      <c r="N24" s="241"/>
      <c r="O24" s="194"/>
      <c r="P24" s="239"/>
      <c r="Q24" s="239"/>
      <c r="R24" s="252">
        <f t="shared" si="4"/>
        <v>20000</v>
      </c>
      <c r="S24" s="193">
        <f t="shared" si="5"/>
        <v>0</v>
      </c>
      <c r="T24" s="195">
        <f t="shared" si="0"/>
        <v>10</v>
      </c>
      <c r="V24" s="111"/>
    </row>
    <row r="25" spans="2:22" ht="15">
      <c r="B25" s="173">
        <f>'Team list - 2003'!A23</f>
        <v>45</v>
      </c>
      <c r="C25" s="207" t="str">
        <f>'Team list - 2003'!B23</f>
        <v>RMIT University</v>
      </c>
      <c r="D25" s="194">
        <v>0</v>
      </c>
      <c r="E25" s="241">
        <v>705.8795</v>
      </c>
      <c r="F25" s="251">
        <f t="shared" si="1"/>
        <v>705.8795</v>
      </c>
      <c r="G25" s="194">
        <v>0</v>
      </c>
      <c r="H25" s="241">
        <v>793.9747</v>
      </c>
      <c r="I25" s="251">
        <f t="shared" si="2"/>
        <v>793.9747</v>
      </c>
      <c r="J25" s="251">
        <f t="shared" si="3"/>
        <v>1499.8542</v>
      </c>
      <c r="K25" s="239">
        <f>1+1+1+1+2</f>
        <v>6</v>
      </c>
      <c r="L25" s="239">
        <f>1</f>
        <v>1</v>
      </c>
      <c r="M25" s="194">
        <v>1</v>
      </c>
      <c r="N25" s="241"/>
      <c r="O25" s="194"/>
      <c r="P25" s="239"/>
      <c r="Q25" s="239"/>
      <c r="R25" s="252">
        <f t="shared" si="4"/>
        <v>1651.8542</v>
      </c>
      <c r="S25" s="193">
        <f t="shared" si="5"/>
        <v>197.2176733709743</v>
      </c>
      <c r="T25" s="195">
        <f t="shared" si="0"/>
        <v>6</v>
      </c>
      <c r="V25" s="111"/>
    </row>
    <row r="26" spans="2:22" ht="15">
      <c r="B26" s="173">
        <f>'Team list - 2003'!A24</f>
        <v>63</v>
      </c>
      <c r="C26" s="207" t="str">
        <f>'Team list - 2003'!B24</f>
        <v>University of NSW</v>
      </c>
      <c r="D26" s="194">
        <v>0</v>
      </c>
      <c r="E26" s="241">
        <v>783.7828</v>
      </c>
      <c r="F26" s="251">
        <f t="shared" si="1"/>
        <v>783.7828</v>
      </c>
      <c r="G26" s="194">
        <v>0</v>
      </c>
      <c r="H26" s="241">
        <v>797.4713</v>
      </c>
      <c r="I26" s="251">
        <f t="shared" si="2"/>
        <v>797.4713</v>
      </c>
      <c r="J26" s="251">
        <f t="shared" si="3"/>
        <v>1581.2541</v>
      </c>
      <c r="K26" s="239">
        <f>1+1</f>
        <v>2</v>
      </c>
      <c r="L26" s="239">
        <f>1</f>
        <v>1</v>
      </c>
      <c r="M26" s="194"/>
      <c r="N26" s="241"/>
      <c r="O26" s="194">
        <f>1</f>
        <v>1</v>
      </c>
      <c r="P26" s="239"/>
      <c r="Q26" s="239"/>
      <c r="R26" s="252">
        <f t="shared" si="4"/>
        <v>1665.2541</v>
      </c>
      <c r="S26" s="193">
        <f t="shared" si="5"/>
        <v>188.7837148036987</v>
      </c>
      <c r="T26" s="195">
        <f t="shared" si="0"/>
        <v>7</v>
      </c>
      <c r="V26" s="111"/>
    </row>
    <row r="27" spans="2:20" ht="15.75" thickBot="1">
      <c r="B27" s="179">
        <f>'Team list - 2003'!A25</f>
        <v>66</v>
      </c>
      <c r="C27" s="217" t="str">
        <f>'Team list - 2003'!B25</f>
        <v>Monash University</v>
      </c>
      <c r="D27" s="201">
        <v>0</v>
      </c>
      <c r="E27" s="359">
        <v>10000</v>
      </c>
      <c r="F27" s="255">
        <f t="shared" si="1"/>
        <v>10000</v>
      </c>
      <c r="G27" s="201">
        <v>0</v>
      </c>
      <c r="H27" s="359">
        <v>10000</v>
      </c>
      <c r="I27" s="233">
        <f t="shared" si="2"/>
        <v>10000</v>
      </c>
      <c r="J27" s="233">
        <f t="shared" si="3"/>
        <v>20000</v>
      </c>
      <c r="K27" s="245">
        <f>2</f>
        <v>2</v>
      </c>
      <c r="L27" s="245"/>
      <c r="M27" s="201"/>
      <c r="N27" s="246"/>
      <c r="O27" s="201"/>
      <c r="P27" s="245"/>
      <c r="Q27" s="245"/>
      <c r="R27" s="256">
        <f t="shared" si="4"/>
        <v>20004</v>
      </c>
      <c r="S27" s="200">
        <f t="shared" si="5"/>
        <v>0</v>
      </c>
      <c r="T27" s="202">
        <f t="shared" si="0"/>
        <v>10</v>
      </c>
    </row>
    <row r="28" spans="2:20" ht="15">
      <c r="B28" s="74"/>
      <c r="C28" s="75"/>
      <c r="K28" s="77"/>
      <c r="L28" s="77"/>
      <c r="M28" s="77"/>
      <c r="N28" s="77"/>
      <c r="O28" s="77"/>
      <c r="P28" s="77"/>
      <c r="Q28" s="77"/>
      <c r="R28" s="77"/>
      <c r="S28" s="78"/>
      <c r="T28" s="78"/>
    </row>
    <row r="29" spans="2:20" ht="15.75" thickBot="1">
      <c r="B29" s="82" t="s">
        <v>22</v>
      </c>
      <c r="C29" t="s">
        <v>64</v>
      </c>
      <c r="D29" s="83" t="s">
        <v>65</v>
      </c>
      <c r="G29" t="s">
        <v>183</v>
      </c>
      <c r="K29" s="35"/>
      <c r="L29" s="35"/>
      <c r="M29" s="35"/>
      <c r="N29" s="35"/>
      <c r="O29" s="35"/>
      <c r="P29" s="35"/>
      <c r="Q29" s="34"/>
      <c r="R29" s="27"/>
      <c r="S29" s="35"/>
      <c r="T29" s="52"/>
    </row>
    <row r="30" spans="2:18" ht="13.5" thickBot="1">
      <c r="B30" s="53" t="s">
        <v>13</v>
      </c>
      <c r="C30" s="70" t="s">
        <v>55</v>
      </c>
      <c r="D30" s="55">
        <v>2</v>
      </c>
      <c r="G30">
        <v>713</v>
      </c>
      <c r="H30" t="s">
        <v>180</v>
      </c>
      <c r="Q30" s="39" t="s">
        <v>20</v>
      </c>
      <c r="R30" s="56">
        <f>MIN(R7:R27)</f>
        <v>1441.7002</v>
      </c>
    </row>
    <row r="31" spans="2:18" ht="13.5" thickBot="1">
      <c r="B31" s="53" t="s">
        <v>14</v>
      </c>
      <c r="C31" t="s">
        <v>56</v>
      </c>
      <c r="D31" s="55">
        <v>20</v>
      </c>
      <c r="G31">
        <v>15</v>
      </c>
      <c r="H31" t="s">
        <v>181</v>
      </c>
      <c r="Q31" s="39" t="s">
        <v>21</v>
      </c>
      <c r="R31" s="56">
        <f>1.333*R30</f>
        <v>1921.7863665999998</v>
      </c>
    </row>
    <row r="32" spans="2:8" ht="12.75">
      <c r="B32" s="53" t="s">
        <v>62</v>
      </c>
      <c r="C32" s="70" t="s">
        <v>63</v>
      </c>
      <c r="D32" s="55">
        <v>120</v>
      </c>
      <c r="G32">
        <f>G30*G31/1000*2</f>
        <v>21.39</v>
      </c>
      <c r="H32" t="s">
        <v>182</v>
      </c>
    </row>
    <row r="33" spans="2:8" ht="12.75">
      <c r="B33" s="53" t="s">
        <v>15</v>
      </c>
      <c r="C33" t="s">
        <v>57</v>
      </c>
      <c r="D33" s="55">
        <v>240</v>
      </c>
      <c r="G33">
        <v>5.72</v>
      </c>
      <c r="H33" t="s">
        <v>184</v>
      </c>
    </row>
    <row r="34" spans="2:8" ht="12.75">
      <c r="B34" s="53" t="s">
        <v>16</v>
      </c>
      <c r="C34" t="s">
        <v>58</v>
      </c>
      <c r="D34" s="55">
        <v>60</v>
      </c>
      <c r="G34">
        <v>0.26</v>
      </c>
      <c r="H34" t="s">
        <v>185</v>
      </c>
    </row>
    <row r="35" spans="2:8" ht="12.75">
      <c r="B35" s="53" t="s">
        <v>17</v>
      </c>
      <c r="C35" t="s">
        <v>59</v>
      </c>
      <c r="D35" s="55">
        <v>60</v>
      </c>
      <c r="G35">
        <f>Fuel!D31</f>
        <v>5.5614</v>
      </c>
      <c r="H35" t="s">
        <v>186</v>
      </c>
    </row>
    <row r="36" spans="2:4" ht="12.75">
      <c r="B36" s="53" t="s">
        <v>18</v>
      </c>
      <c r="C36" t="s">
        <v>60</v>
      </c>
      <c r="D36" s="55" t="s">
        <v>66</v>
      </c>
    </row>
  </sheetData>
  <mergeCells count="4">
    <mergeCell ref="D3:J3"/>
    <mergeCell ref="K5:P5"/>
    <mergeCell ref="D4:F4"/>
    <mergeCell ref="G4:I4"/>
  </mergeCells>
  <printOptions/>
  <pageMargins left="0.2" right="0.23" top="0.49" bottom="1" header="0.5" footer="0.5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33"/>
  <sheetViews>
    <sheetView zoomScale="75" zoomScaleNormal="75" workbookViewId="0" topLeftCell="B1">
      <selection activeCell="F20" sqref="F20"/>
    </sheetView>
  </sheetViews>
  <sheetFormatPr defaultColWidth="9.140625" defaultRowHeight="12.75"/>
  <cols>
    <col min="1" max="1" width="0" style="0" hidden="1" customWidth="1"/>
    <col min="3" max="3" width="40.421875" style="0" bestFit="1" customWidth="1"/>
    <col min="4" max="4" width="9.8515625" style="0" bestFit="1" customWidth="1"/>
    <col min="5" max="7" width="9.8515625" style="0" customWidth="1"/>
    <col min="8" max="8" width="9.8515625" style="55" bestFit="1" customWidth="1"/>
    <col min="13" max="13" width="26.7109375" style="0" bestFit="1" customWidth="1"/>
  </cols>
  <sheetData>
    <row r="1" ht="33.75">
      <c r="B1" s="102" t="s">
        <v>137</v>
      </c>
    </row>
    <row r="2" ht="21" thickBot="1">
      <c r="G2" s="149"/>
    </row>
    <row r="3" spans="2:8" ht="12.75" customHeight="1">
      <c r="B3" s="40"/>
      <c r="C3" s="40"/>
      <c r="D3" s="59"/>
      <c r="E3" s="58"/>
      <c r="F3" s="59"/>
      <c r="G3" s="58"/>
      <c r="H3" s="59"/>
    </row>
    <row r="4" spans="2:8" ht="15.75">
      <c r="B4" s="8" t="s">
        <v>6</v>
      </c>
      <c r="C4" s="9" t="s">
        <v>93</v>
      </c>
      <c r="D4" s="54"/>
      <c r="E4" s="67" t="s">
        <v>0</v>
      </c>
      <c r="F4" s="54"/>
      <c r="G4" s="67" t="s">
        <v>0</v>
      </c>
      <c r="H4" s="54"/>
    </row>
    <row r="5" spans="2:8" ht="12.75" customHeight="1">
      <c r="B5" s="8" t="s">
        <v>7</v>
      </c>
      <c r="C5" s="92"/>
      <c r="D5" s="13" t="s">
        <v>70</v>
      </c>
      <c r="E5" s="67" t="s">
        <v>75</v>
      </c>
      <c r="F5" s="113" t="s">
        <v>71</v>
      </c>
      <c r="G5" s="67" t="s">
        <v>75</v>
      </c>
      <c r="H5" s="54" t="s">
        <v>67</v>
      </c>
    </row>
    <row r="6" spans="2:9" ht="15.75" customHeight="1" thickBot="1">
      <c r="B6" s="30"/>
      <c r="C6" s="30"/>
      <c r="D6" s="22" t="s">
        <v>90</v>
      </c>
      <c r="E6" s="114"/>
      <c r="F6" s="22" t="s">
        <v>90</v>
      </c>
      <c r="G6" s="114"/>
      <c r="H6" s="361"/>
      <c r="I6" s="55"/>
    </row>
    <row r="7" spans="2:12" ht="15">
      <c r="B7" s="169">
        <f>'Team list - 2003'!A5</f>
        <v>1</v>
      </c>
      <c r="C7" s="170" t="str">
        <f>'Team list - 2003'!B5</f>
        <v>University of Wollongong</v>
      </c>
      <c r="D7" s="171"/>
      <c r="E7" s="172">
        <f aca="true" t="shared" si="0" ref="E7:E27">IF(D7="","",IF(D7&gt;$D$31,0,(($D$31/D7)-1)/(($D$31/$D$30)-1)*50))</f>
      </c>
      <c r="F7" s="171">
        <v>3.64</v>
      </c>
      <c r="G7" s="172">
        <f aca="true" t="shared" si="1" ref="G7:G27">IF(F7="","",IF(F7&gt;$D$31,0,(($D$31/F7)-1)/(($D$31/$G$30)-1)*50))</f>
        <v>34.7303358755012</v>
      </c>
      <c r="H7" s="360">
        <f>RANK(G7,G$7:G$27)</f>
        <v>4</v>
      </c>
      <c r="L7" s="39"/>
    </row>
    <row r="8" spans="2:8" ht="15">
      <c r="B8" s="173">
        <f>'Team list - 2003'!A6</f>
        <v>2</v>
      </c>
      <c r="C8" s="174" t="str">
        <f>'Team list - 2003'!B6</f>
        <v>University of Western Australia</v>
      </c>
      <c r="D8" s="175"/>
      <c r="E8" s="176">
        <f t="shared" si="0"/>
      </c>
      <c r="F8" s="175">
        <v>5.64</v>
      </c>
      <c r="G8" s="176">
        <f t="shared" si="1"/>
        <v>0</v>
      </c>
      <c r="H8" s="231">
        <f aca="true" t="shared" si="2" ref="H8:H26">RANK(G8,G$7:G$27)</f>
        <v>10</v>
      </c>
    </row>
    <row r="9" spans="2:8" ht="15">
      <c r="B9" s="173">
        <f>'Team list - 2003'!A7</f>
        <v>3</v>
      </c>
      <c r="C9" s="174" t="str">
        <f>'Team list - 2003'!B7</f>
        <v>University of Sydney</v>
      </c>
      <c r="D9" s="175">
        <v>4.25</v>
      </c>
      <c r="E9" s="176">
        <f t="shared" si="0"/>
        <v>24.086634266859544</v>
      </c>
      <c r="F9" s="175">
        <v>4.06</v>
      </c>
      <c r="G9" s="176">
        <f t="shared" si="1"/>
        <v>24.33116806657529</v>
      </c>
      <c r="H9" s="231">
        <f t="shared" si="2"/>
        <v>8</v>
      </c>
    </row>
    <row r="10" spans="2:13" ht="15">
      <c r="B10" s="173">
        <f>'Team list - 2003'!A8</f>
        <v>4</v>
      </c>
      <c r="C10" s="174" t="str">
        <f>'Team list - 2003'!B8</f>
        <v>Swinburne University of Technology</v>
      </c>
      <c r="D10" s="175"/>
      <c r="E10" s="176">
        <f t="shared" si="0"/>
      </c>
      <c r="F10" s="175"/>
      <c r="G10" s="176">
        <f t="shared" si="1"/>
      </c>
      <c r="H10" s="231"/>
      <c r="M10" s="85"/>
    </row>
    <row r="11" spans="2:8" ht="15">
      <c r="B11" s="173">
        <f>'Team list - 2003'!A9</f>
        <v>5</v>
      </c>
      <c r="C11" s="174" t="str">
        <f>'Team list - 2003'!B9</f>
        <v>Rochester Institute of Technology, USA</v>
      </c>
      <c r="D11" s="175">
        <v>4.25</v>
      </c>
      <c r="E11" s="176">
        <f t="shared" si="0"/>
        <v>24.086634266859544</v>
      </c>
      <c r="F11" s="175">
        <v>3.8</v>
      </c>
      <c r="G11" s="176">
        <f t="shared" si="1"/>
        <v>30.497692135727856</v>
      </c>
      <c r="H11" s="231">
        <f t="shared" si="2"/>
        <v>6</v>
      </c>
    </row>
    <row r="12" spans="2:9" s="156" customFormat="1" ht="30">
      <c r="B12" s="173">
        <f>'Team list - 2003'!A10</f>
        <v>6</v>
      </c>
      <c r="C12" s="174" t="str">
        <f>'Team list - 2003'!B10</f>
        <v>Australian National University &amp; Canberra Institute of Technology</v>
      </c>
      <c r="D12" s="177"/>
      <c r="E12" s="178">
        <f t="shared" si="0"/>
      </c>
      <c r="F12" s="177"/>
      <c r="G12" s="178">
        <f t="shared" si="1"/>
      </c>
      <c r="H12" s="231"/>
      <c r="I12"/>
    </row>
    <row r="13" spans="2:8" ht="15">
      <c r="B13" s="173">
        <f>'Team list - 2003'!A11</f>
        <v>8</v>
      </c>
      <c r="C13" s="174" t="str">
        <f>'Team list - 2003'!B11</f>
        <v>University of Technology, Sydney</v>
      </c>
      <c r="D13" s="175"/>
      <c r="E13" s="176">
        <f t="shared" si="0"/>
      </c>
      <c r="F13" s="175"/>
      <c r="G13" s="176">
        <f t="shared" si="1"/>
      </c>
      <c r="H13" s="231"/>
    </row>
    <row r="14" spans="2:8" ht="15">
      <c r="B14" s="173">
        <f>'Team list - 2003'!A12</f>
        <v>9</v>
      </c>
      <c r="C14" s="174" t="str">
        <f>'Team list - 2003'!B12</f>
        <v>The University of Adelaide</v>
      </c>
      <c r="D14" s="175">
        <v>3.7</v>
      </c>
      <c r="E14" s="176">
        <f t="shared" si="0"/>
        <v>39.270628738713846</v>
      </c>
      <c r="F14" s="175"/>
      <c r="G14" s="176">
        <f t="shared" si="1"/>
      </c>
      <c r="H14" s="231"/>
    </row>
    <row r="15" spans="2:8" ht="15">
      <c r="B15" s="173">
        <f>'Team list - 2003'!A13</f>
        <v>11</v>
      </c>
      <c r="C15" s="174" t="str">
        <f>'Team list - 2003'!B13</f>
        <v>Auburn University, USA</v>
      </c>
      <c r="D15" s="175">
        <v>5.09</v>
      </c>
      <c r="E15" s="176">
        <f t="shared" si="0"/>
        <v>7.2293901809430805</v>
      </c>
      <c r="F15" s="175">
        <v>5.08</v>
      </c>
      <c r="G15" s="176">
        <f t="shared" si="1"/>
        <v>6.234978414822328</v>
      </c>
      <c r="H15" s="231">
        <f t="shared" si="2"/>
        <v>9</v>
      </c>
    </row>
    <row r="16" spans="2:8" ht="15">
      <c r="B16" s="173">
        <f>'Team list - 2003'!A14</f>
        <v>14</v>
      </c>
      <c r="C16" s="174" t="str">
        <f>'Team list - 2003'!B14</f>
        <v>Curtin University of Technology</v>
      </c>
      <c r="D16" s="175"/>
      <c r="E16" s="176">
        <f t="shared" si="0"/>
      </c>
      <c r="F16" s="175"/>
      <c r="G16" s="176">
        <f t="shared" si="1"/>
      </c>
      <c r="H16" s="231"/>
    </row>
    <row r="17" spans="2:8" ht="15">
      <c r="B17" s="173">
        <f>'Team list - 2003'!A15</f>
        <v>18</v>
      </c>
      <c r="C17" s="174" t="str">
        <f>'Team list - 2003'!B15</f>
        <v>University of Melbourne</v>
      </c>
      <c r="D17" s="175"/>
      <c r="E17" s="176">
        <f t="shared" si="0"/>
      </c>
      <c r="F17" s="175"/>
      <c r="G17" s="176">
        <f t="shared" si="1"/>
      </c>
      <c r="H17" s="231"/>
    </row>
    <row r="18" spans="2:8" ht="15">
      <c r="B18" s="173">
        <f>'Team list - 2003'!A16</f>
        <v>19</v>
      </c>
      <c r="C18" s="174" t="str">
        <f>'Team list - 2003'!B16</f>
        <v>University of Braunschweig, GERMANY</v>
      </c>
      <c r="D18" s="175"/>
      <c r="E18" s="176">
        <f t="shared" si="0"/>
      </c>
      <c r="F18" s="175"/>
      <c r="G18" s="176">
        <f t="shared" si="1"/>
      </c>
      <c r="H18" s="231"/>
    </row>
    <row r="19" spans="2:8" ht="15">
      <c r="B19" s="173">
        <f>'Team list - 2003'!A17</f>
        <v>21</v>
      </c>
      <c r="C19" s="174" t="str">
        <f>'Team list - 2003'!B17</f>
        <v>Tokyo Denki University, JAPAN </v>
      </c>
      <c r="D19" s="175"/>
      <c r="E19" s="176">
        <f t="shared" si="0"/>
      </c>
      <c r="F19" s="175"/>
      <c r="G19" s="176">
        <f t="shared" si="1"/>
      </c>
      <c r="H19" s="231"/>
    </row>
    <row r="20" spans="2:8" ht="15">
      <c r="B20" s="173">
        <f>'Team list - 2003'!A18</f>
        <v>23</v>
      </c>
      <c r="C20" s="174" t="str">
        <f>'Team list - 2003'!B18</f>
        <v>Deakin University</v>
      </c>
      <c r="D20" s="175"/>
      <c r="E20" s="176">
        <f t="shared" si="0"/>
      </c>
      <c r="F20" s="175">
        <v>6.72</v>
      </c>
      <c r="G20" s="176">
        <f t="shared" si="1"/>
        <v>0</v>
      </c>
      <c r="H20" s="231">
        <f t="shared" si="2"/>
        <v>10</v>
      </c>
    </row>
    <row r="21" spans="2:8" ht="15">
      <c r="B21" s="173">
        <f>'Team list - 2003'!A19</f>
        <v>31</v>
      </c>
      <c r="C21" s="174" t="str">
        <f>'Team list - 2003'!B19</f>
        <v>Georgia Institute of Technology, USA</v>
      </c>
      <c r="D21" s="175"/>
      <c r="E21" s="176">
        <f t="shared" si="0"/>
      </c>
      <c r="F21" s="175">
        <v>3.72</v>
      </c>
      <c r="G21" s="176">
        <f t="shared" si="1"/>
        <v>32.56850170733738</v>
      </c>
      <c r="H21" s="231">
        <f t="shared" si="2"/>
        <v>5</v>
      </c>
    </row>
    <row r="22" spans="2:8" ht="15">
      <c r="B22" s="173">
        <f>'Team list - 2003'!A20</f>
        <v>35</v>
      </c>
      <c r="C22" s="174" t="str">
        <f>'Team list - 2003'!B20</f>
        <v>Chalmers University, SWEDEN </v>
      </c>
      <c r="D22" s="175">
        <v>3.39</v>
      </c>
      <c r="E22" s="176">
        <f t="shared" si="0"/>
        <v>50</v>
      </c>
      <c r="F22" s="175">
        <v>3.2</v>
      </c>
      <c r="G22" s="176">
        <f t="shared" si="1"/>
        <v>48.55256308819855</v>
      </c>
      <c r="H22" s="231">
        <f t="shared" si="2"/>
        <v>2</v>
      </c>
    </row>
    <row r="23" spans="2:8" ht="15">
      <c r="B23" s="173">
        <f>'Team list - 2003'!A21</f>
        <v>41</v>
      </c>
      <c r="C23" s="174" t="str">
        <f>'Team list - 2003'!B21</f>
        <v>University of Queensland</v>
      </c>
      <c r="D23" s="175">
        <v>4.29</v>
      </c>
      <c r="E23" s="176">
        <f t="shared" si="0"/>
        <v>23.134215880830972</v>
      </c>
      <c r="F23" s="175">
        <v>3.93</v>
      </c>
      <c r="G23" s="176">
        <f t="shared" si="1"/>
        <v>27.31243924504599</v>
      </c>
      <c r="H23" s="231">
        <f t="shared" si="2"/>
        <v>7</v>
      </c>
    </row>
    <row r="24" spans="2:8" ht="15">
      <c r="B24" s="173">
        <f>'Team list - 2003'!A22</f>
        <v>44</v>
      </c>
      <c r="C24" s="174" t="str">
        <f>'Team list - 2003'!B22</f>
        <v>University of Newcastle</v>
      </c>
      <c r="D24" s="175"/>
      <c r="E24" s="176">
        <f t="shared" si="0"/>
      </c>
      <c r="F24" s="175"/>
      <c r="G24" s="176">
        <f t="shared" si="1"/>
      </c>
      <c r="H24" s="231"/>
    </row>
    <row r="25" spans="2:8" ht="15">
      <c r="B25" s="173">
        <f>'Team list - 2003'!A23</f>
        <v>45</v>
      </c>
      <c r="C25" s="174" t="str">
        <f>'Team list - 2003'!B23</f>
        <v>RMIT University</v>
      </c>
      <c r="D25" s="175"/>
      <c r="E25" s="176">
        <f t="shared" si="0"/>
      </c>
      <c r="F25" s="175">
        <v>3.16</v>
      </c>
      <c r="G25" s="176">
        <f t="shared" si="1"/>
        <v>50</v>
      </c>
      <c r="H25" s="231">
        <f t="shared" si="2"/>
        <v>1</v>
      </c>
    </row>
    <row r="26" spans="2:8" ht="15">
      <c r="B26" s="173">
        <f>'Team list - 2003'!A24</f>
        <v>63</v>
      </c>
      <c r="C26" s="174" t="str">
        <f>'Team list - 2003'!B24</f>
        <v>University of NSW</v>
      </c>
      <c r="D26" s="175">
        <v>3.49</v>
      </c>
      <c r="E26" s="176">
        <f t="shared" si="0"/>
        <v>46.33065221677061</v>
      </c>
      <c r="F26" s="175">
        <v>3.33</v>
      </c>
      <c r="G26" s="176">
        <f t="shared" si="1"/>
        <v>44.08854594579589</v>
      </c>
      <c r="H26" s="231">
        <f t="shared" si="2"/>
        <v>3</v>
      </c>
    </row>
    <row r="27" spans="2:8" ht="15.75" thickBot="1">
      <c r="B27" s="179">
        <f>'Team list - 2003'!A25</f>
        <v>66</v>
      </c>
      <c r="C27" s="180" t="str">
        <f>'Team list - 2003'!B25</f>
        <v>Monash University</v>
      </c>
      <c r="D27" s="181"/>
      <c r="E27" s="182">
        <f t="shared" si="0"/>
      </c>
      <c r="F27" s="181"/>
      <c r="G27" s="182">
        <f t="shared" si="1"/>
      </c>
      <c r="H27" s="233"/>
    </row>
    <row r="29" ht="13.5" thickBot="1"/>
    <row r="30" spans="3:7" ht="13.5" thickBot="1">
      <c r="C30" s="39" t="s">
        <v>35</v>
      </c>
      <c r="D30" s="19">
        <f>MIN(D7:D27)</f>
        <v>3.39</v>
      </c>
      <c r="F30" s="39" t="s">
        <v>35</v>
      </c>
      <c r="G30" s="19">
        <f>MIN(F7:F27)</f>
        <v>3.16</v>
      </c>
    </row>
    <row r="31" spans="3:7" ht="13.5" thickBot="1">
      <c r="C31" s="39" t="s">
        <v>36</v>
      </c>
      <c r="D31" s="155">
        <v>5.5614</v>
      </c>
      <c r="G31" s="57"/>
    </row>
    <row r="33" ht="12.75">
      <c r="D33" t="s">
        <v>195</v>
      </c>
    </row>
  </sheetData>
  <conditionalFormatting sqref="I7:I27">
    <cfRule type="cellIs" priority="1" dxfId="2" operator="greaterThan" stopIfTrue="1">
      <formula>0.26</formula>
    </cfRule>
  </conditionalFormatting>
  <conditionalFormatting sqref="H7:H27">
    <cfRule type="cellIs" priority="2" dxfId="0" operator="equal" stopIfTrue="1">
      <formula>1</formula>
    </cfRule>
    <cfRule type="cellIs" priority="3" dxfId="1" operator="equal" stopIfTrue="1">
      <formula>2</formula>
    </cfRule>
    <cfRule type="cellIs" priority="4" dxfId="2" operator="equal" stopIfTrue="1">
      <formula>3</formula>
    </cfRule>
  </conditionalFormatting>
  <printOptions/>
  <pageMargins left="0.25" right="0.25" top="0.38" bottom="0.31" header="0.41" footer="0.2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zoomScale="75" zoomScaleNormal="75" workbookViewId="0" topLeftCell="B1">
      <selection activeCell="N15" sqref="N15"/>
    </sheetView>
  </sheetViews>
  <sheetFormatPr defaultColWidth="9.140625" defaultRowHeight="12.75"/>
  <cols>
    <col min="1" max="1" width="0" style="0" hidden="1" customWidth="1"/>
    <col min="3" max="3" width="41.57421875" style="0" bestFit="1" customWidth="1"/>
    <col min="4" max="4" width="11.7109375" style="0" bestFit="1" customWidth="1"/>
    <col min="5" max="8" width="10.421875" style="0" customWidth="1"/>
    <col min="10" max="10" width="10.00390625" style="0" bestFit="1" customWidth="1"/>
    <col min="13" max="13" width="26.7109375" style="0" bestFit="1" customWidth="1"/>
    <col min="20" max="20" width="34.140625" style="0" bestFit="1" customWidth="1"/>
  </cols>
  <sheetData>
    <row r="1" spans="2:9" ht="45">
      <c r="B1" s="102" t="s">
        <v>129</v>
      </c>
      <c r="C1" s="84"/>
      <c r="D1" s="84"/>
      <c r="E1" s="84"/>
      <c r="F1" s="84"/>
      <c r="G1" s="84"/>
      <c r="H1" s="84"/>
      <c r="I1" s="84"/>
    </row>
    <row r="2" ht="21" thickBot="1">
      <c r="J2" s="149"/>
    </row>
    <row r="3" spans="2:13" ht="12.75">
      <c r="B3" s="60"/>
      <c r="C3" s="7"/>
      <c r="D3" s="60"/>
      <c r="E3" s="6"/>
      <c r="F3" s="64"/>
      <c r="G3" s="60"/>
      <c r="H3" s="6"/>
      <c r="I3" s="64"/>
      <c r="J3" s="1"/>
      <c r="K3" s="1"/>
      <c r="L3" s="89"/>
      <c r="M3" s="1"/>
    </row>
    <row r="4" spans="2:13" ht="15.75">
      <c r="B4" s="13" t="s">
        <v>6</v>
      </c>
      <c r="C4" s="9" t="s">
        <v>93</v>
      </c>
      <c r="D4" s="65"/>
      <c r="E4" s="11" t="s">
        <v>70</v>
      </c>
      <c r="F4" s="67"/>
      <c r="G4" s="65"/>
      <c r="H4" s="71" t="s">
        <v>71</v>
      </c>
      <c r="I4" s="67"/>
      <c r="J4" s="134" t="s">
        <v>88</v>
      </c>
      <c r="K4" s="113" t="s">
        <v>74</v>
      </c>
      <c r="L4" s="117"/>
      <c r="M4" s="363"/>
    </row>
    <row r="5" spans="2:13" ht="12.75">
      <c r="B5" s="65" t="s">
        <v>7</v>
      </c>
      <c r="C5" s="13"/>
      <c r="D5" s="10" t="s">
        <v>91</v>
      </c>
      <c r="E5" s="133" t="s">
        <v>43</v>
      </c>
      <c r="F5" s="67" t="s">
        <v>73</v>
      </c>
      <c r="G5" s="10" t="s">
        <v>91</v>
      </c>
      <c r="H5" s="133" t="s">
        <v>43</v>
      </c>
      <c r="I5" s="67" t="s">
        <v>73</v>
      </c>
      <c r="J5" s="13" t="s">
        <v>89</v>
      </c>
      <c r="K5" s="13" t="s">
        <v>76</v>
      </c>
      <c r="L5" s="65"/>
      <c r="M5" s="363" t="s">
        <v>191</v>
      </c>
    </row>
    <row r="6" spans="2:13" ht="13.5" thickBot="1">
      <c r="B6" s="65"/>
      <c r="C6" s="13"/>
      <c r="D6" s="66" t="s">
        <v>4</v>
      </c>
      <c r="E6" s="21" t="s">
        <v>4</v>
      </c>
      <c r="F6" s="114" t="s">
        <v>4</v>
      </c>
      <c r="G6" s="66" t="s">
        <v>4</v>
      </c>
      <c r="H6" s="21" t="s">
        <v>4</v>
      </c>
      <c r="I6" s="114" t="s">
        <v>4</v>
      </c>
      <c r="J6" s="107"/>
      <c r="K6" s="107"/>
      <c r="L6" s="89"/>
      <c r="M6" s="364"/>
    </row>
    <row r="7" spans="2:13" ht="15">
      <c r="B7" s="169">
        <f>'Team list - 2003'!A5</f>
        <v>1</v>
      </c>
      <c r="C7" s="170" t="str">
        <f>'Team list - 2003'!B5</f>
        <v>University of Wollongong</v>
      </c>
      <c r="D7" s="172">
        <f>IF(Fuel!E7="","",Fuel!E7)</f>
      </c>
      <c r="E7" s="172">
        <f>'Endurance (1)'!S7</f>
        <v>0</v>
      </c>
      <c r="F7" s="172">
        <f>IF(D7="","",SUM(D7:E7))</f>
      </c>
      <c r="G7" s="172">
        <f>IF(Fuel!G7="","",Fuel!G7)</f>
        <v>34.7303358755012</v>
      </c>
      <c r="H7" s="172">
        <f>'Endurance (2)'!S7</f>
        <v>243.2541369895216</v>
      </c>
      <c r="I7" s="172">
        <f>IF(G7="","",SUM(G7:H7))</f>
        <v>277.9844728650228</v>
      </c>
      <c r="J7" s="172">
        <f>MAX(I7,F7)</f>
        <v>277.9844728650228</v>
      </c>
      <c r="K7" s="234">
        <f>IF(J7="","",RANK(J7,$J$7:$J$27))</f>
        <v>8</v>
      </c>
      <c r="L7" s="136"/>
      <c r="M7" s="362">
        <f>MAX(E7,H7)</f>
        <v>243.2541369895216</v>
      </c>
    </row>
    <row r="8" spans="2:24" ht="15">
      <c r="B8" s="173">
        <f>'Team list - 2003'!A6</f>
        <v>2</v>
      </c>
      <c r="C8" s="207" t="str">
        <f>'Team list - 2003'!B6</f>
        <v>University of Western Australia</v>
      </c>
      <c r="D8" s="176">
        <f>IF(Fuel!E8="","",Fuel!E8)</f>
      </c>
      <c r="E8" s="176">
        <f>'Endurance (1)'!S8</f>
        <v>0</v>
      </c>
      <c r="F8" s="176">
        <f aca="true" t="shared" si="0" ref="F8:F27">IF(D8="","",SUM(D8:E8))</f>
      </c>
      <c r="G8" s="176">
        <f>IF(Fuel!G8="","",Fuel!G8)</f>
        <v>0</v>
      </c>
      <c r="H8" s="176">
        <f>'Endurance (2)'!S8</f>
        <v>0</v>
      </c>
      <c r="I8" s="176">
        <f aca="true" t="shared" si="1" ref="I8:I27">IF(G8="","",SUM(G8:H8))</f>
        <v>0</v>
      </c>
      <c r="J8" s="176">
        <f aca="true" t="shared" si="2" ref="J8:J27">MAX(I8,F8)</f>
        <v>0</v>
      </c>
      <c r="K8" s="231">
        <f aca="true" t="shared" si="3" ref="K8:K27">IF(J8="","",RANK(J8,$J$7:$J$27))</f>
        <v>11</v>
      </c>
      <c r="L8" s="136"/>
      <c r="M8" s="176">
        <f aca="true" t="shared" si="4" ref="M8:M27">MAX(E8,H8)</f>
        <v>0</v>
      </c>
      <c r="X8" s="94"/>
    </row>
    <row r="9" spans="2:13" ht="15">
      <c r="B9" s="173">
        <f>'Team list - 2003'!A7</f>
        <v>3</v>
      </c>
      <c r="C9" s="207" t="str">
        <f>'Team list - 2003'!B7</f>
        <v>University of Sydney</v>
      </c>
      <c r="D9" s="176">
        <f>IF(Fuel!E9="","",Fuel!E9)</f>
        <v>24.086634266859544</v>
      </c>
      <c r="E9" s="176">
        <f>'Endurance (1)'!S9</f>
        <v>169.4573695921253</v>
      </c>
      <c r="F9" s="176">
        <f t="shared" si="0"/>
        <v>193.54400385898484</v>
      </c>
      <c r="G9" s="176">
        <f>IF(Fuel!G9="","",Fuel!G9)</f>
        <v>24.33116806657529</v>
      </c>
      <c r="H9" s="176">
        <f>'Endurance (2)'!S9</f>
        <v>56.85986641464413</v>
      </c>
      <c r="I9" s="176">
        <f t="shared" si="1"/>
        <v>81.19103448121942</v>
      </c>
      <c r="J9" s="176">
        <f t="shared" si="2"/>
        <v>193.54400385898484</v>
      </c>
      <c r="K9" s="231">
        <f t="shared" si="3"/>
        <v>10</v>
      </c>
      <c r="L9" s="136"/>
      <c r="M9" s="176">
        <f t="shared" si="4"/>
        <v>169.4573695921253</v>
      </c>
    </row>
    <row r="10" spans="2:13" ht="15">
      <c r="B10" s="173">
        <f>'Team list - 2003'!A8</f>
        <v>4</v>
      </c>
      <c r="C10" s="207" t="str">
        <f>'Team list - 2003'!B8</f>
        <v>Swinburne University of Technology</v>
      </c>
      <c r="D10" s="176">
        <f>IF(Fuel!E10="","",Fuel!E10)</f>
      </c>
      <c r="E10" s="176">
        <f>'Endurance (1)'!S10</f>
        <v>0</v>
      </c>
      <c r="F10" s="176">
        <f t="shared" si="0"/>
      </c>
      <c r="G10" s="176">
        <f>IF(Fuel!G10="","",Fuel!G10)</f>
      </c>
      <c r="H10" s="176">
        <f>'Endurance (2)'!S10</f>
        <v>0</v>
      </c>
      <c r="I10" s="176">
        <f t="shared" si="1"/>
      </c>
      <c r="J10" s="176">
        <f t="shared" si="2"/>
        <v>0</v>
      </c>
      <c r="K10" s="231">
        <f t="shared" si="3"/>
        <v>11</v>
      </c>
      <c r="L10" s="136"/>
      <c r="M10" s="176">
        <f t="shared" si="4"/>
        <v>0</v>
      </c>
    </row>
    <row r="11" spans="2:13" ht="15">
      <c r="B11" s="173">
        <f>'Team list - 2003'!A9</f>
        <v>5</v>
      </c>
      <c r="C11" s="207" t="str">
        <f>'Team list - 2003'!B9</f>
        <v>Rochester Institute of Technology, USA</v>
      </c>
      <c r="D11" s="176">
        <f>IF(Fuel!E11="","",Fuel!E11)</f>
        <v>24.086634266859544</v>
      </c>
      <c r="E11" s="176">
        <f>'Endurance (1)'!S11</f>
        <v>244.76993987419797</v>
      </c>
      <c r="F11" s="176">
        <f t="shared" si="0"/>
        <v>268.85657414105754</v>
      </c>
      <c r="G11" s="176">
        <f>IF(Fuel!G11="","",Fuel!G11)</f>
        <v>30.497692135727856</v>
      </c>
      <c r="H11" s="176">
        <f>'Endurance (2)'!S11</f>
        <v>265.5511078413207</v>
      </c>
      <c r="I11" s="176">
        <f t="shared" si="1"/>
        <v>296.04879997704853</v>
      </c>
      <c r="J11" s="176">
        <f t="shared" si="2"/>
        <v>296.04879997704853</v>
      </c>
      <c r="K11" s="231">
        <f t="shared" si="3"/>
        <v>7</v>
      </c>
      <c r="L11" s="136"/>
      <c r="M11" s="176">
        <f t="shared" si="4"/>
        <v>265.5511078413207</v>
      </c>
    </row>
    <row r="12" spans="2:24" s="156" customFormat="1" ht="30">
      <c r="B12" s="173">
        <f>'Team list - 2003'!A10</f>
        <v>6</v>
      </c>
      <c r="C12" s="207" t="str">
        <f>'Team list - 2003'!B10</f>
        <v>Australian National University &amp; Canberra Institute of Technology</v>
      </c>
      <c r="D12" s="178">
        <f>IF(Fuel!E12="","",Fuel!E12)</f>
      </c>
      <c r="E12" s="178">
        <f>'Endurance (1)'!S12</f>
        <v>0</v>
      </c>
      <c r="F12" s="178">
        <f t="shared" si="0"/>
      </c>
      <c r="G12" s="178">
        <f>IF(Fuel!G12="","",Fuel!G12)</f>
      </c>
      <c r="H12" s="178">
        <f>'Endurance (2)'!S12</f>
        <v>0</v>
      </c>
      <c r="I12" s="178">
        <f t="shared" si="1"/>
      </c>
      <c r="J12" s="178">
        <f t="shared" si="2"/>
        <v>0</v>
      </c>
      <c r="K12" s="231">
        <f t="shared" si="3"/>
        <v>11</v>
      </c>
      <c r="L12" s="167"/>
      <c r="M12" s="176">
        <f t="shared" si="4"/>
        <v>0</v>
      </c>
      <c r="X12" s="166"/>
    </row>
    <row r="13" spans="2:13" ht="15">
      <c r="B13" s="173">
        <f>'Team list - 2003'!A11</f>
        <v>8</v>
      </c>
      <c r="C13" s="207" t="str">
        <f>'Team list - 2003'!B11</f>
        <v>University of Technology, Sydney</v>
      </c>
      <c r="D13" s="176">
        <f>IF(Fuel!E13="","",Fuel!E13)</f>
      </c>
      <c r="E13" s="176">
        <f>'Endurance (1)'!S13</f>
        <v>0</v>
      </c>
      <c r="F13" s="176">
        <f t="shared" si="0"/>
      </c>
      <c r="G13" s="176">
        <f>IF(Fuel!G13="","",Fuel!G13)</f>
      </c>
      <c r="H13" s="176">
        <f>'Endurance (2)'!S13</f>
        <v>0</v>
      </c>
      <c r="I13" s="176">
        <f t="shared" si="1"/>
      </c>
      <c r="J13" s="176">
        <f t="shared" si="2"/>
        <v>0</v>
      </c>
      <c r="K13" s="231">
        <f t="shared" si="3"/>
        <v>11</v>
      </c>
      <c r="L13" s="136"/>
      <c r="M13" s="176">
        <f t="shared" si="4"/>
        <v>0</v>
      </c>
    </row>
    <row r="14" spans="2:13" ht="15">
      <c r="B14" s="173">
        <f>'Team list - 2003'!A12</f>
        <v>9</v>
      </c>
      <c r="C14" s="207" t="str">
        <f>'Team list - 2003'!B12</f>
        <v>The University of Adelaide</v>
      </c>
      <c r="D14" s="176">
        <f>IF(Fuel!E14="","",Fuel!E14)</f>
        <v>39.270628738713846</v>
      </c>
      <c r="E14" s="176">
        <f>'Endurance (1)'!S14</f>
        <v>276.62753692361514</v>
      </c>
      <c r="F14" s="176">
        <f t="shared" si="0"/>
        <v>315.898165662329</v>
      </c>
      <c r="G14" s="176">
        <f>IF(Fuel!G14="","",Fuel!G14)</f>
      </c>
      <c r="H14" s="176">
        <f>'Endurance (2)'!S14</f>
        <v>0</v>
      </c>
      <c r="I14" s="176">
        <f t="shared" si="1"/>
      </c>
      <c r="J14" s="176">
        <f t="shared" si="2"/>
        <v>315.898165662329</v>
      </c>
      <c r="K14" s="231">
        <f t="shared" si="3"/>
        <v>6</v>
      </c>
      <c r="L14" s="136"/>
      <c r="M14" s="176">
        <f t="shared" si="4"/>
        <v>276.62753692361514</v>
      </c>
    </row>
    <row r="15" spans="2:13" ht="15">
      <c r="B15" s="173">
        <f>'Team list - 2003'!A13</f>
        <v>11</v>
      </c>
      <c r="C15" s="207" t="str">
        <f>'Team list - 2003'!B13</f>
        <v>Auburn University, USA</v>
      </c>
      <c r="D15" s="176">
        <f>IF(Fuel!E15="","",Fuel!E15)</f>
        <v>7.2293901809430805</v>
      </c>
      <c r="E15" s="176">
        <f>'Endurance (1)'!S15</f>
        <v>307.4844799470865</v>
      </c>
      <c r="F15" s="176">
        <f t="shared" si="0"/>
        <v>314.7138701280296</v>
      </c>
      <c r="G15" s="176">
        <f>IF(Fuel!G15="","",Fuel!G15)</f>
        <v>6.234978414822328</v>
      </c>
      <c r="H15" s="176">
        <f>'Endurance (2)'!S15</f>
        <v>350</v>
      </c>
      <c r="I15" s="176">
        <f t="shared" si="1"/>
        <v>356.2349784148223</v>
      </c>
      <c r="J15" s="176">
        <f t="shared" si="2"/>
        <v>356.2349784148223</v>
      </c>
      <c r="K15" s="231">
        <f t="shared" si="3"/>
        <v>4</v>
      </c>
      <c r="L15" s="136"/>
      <c r="M15" s="176">
        <f t="shared" si="4"/>
        <v>350</v>
      </c>
    </row>
    <row r="16" spans="2:13" ht="15">
      <c r="B16" s="173">
        <f>'Team list - 2003'!A14</f>
        <v>14</v>
      </c>
      <c r="C16" s="207" t="str">
        <f>'Team list - 2003'!B14</f>
        <v>Curtin University of Technology</v>
      </c>
      <c r="D16" s="176">
        <f>IF(Fuel!E16="","",Fuel!E16)</f>
      </c>
      <c r="E16" s="176">
        <f>'Endurance (1)'!S16</f>
        <v>0</v>
      </c>
      <c r="F16" s="176">
        <f t="shared" si="0"/>
      </c>
      <c r="G16" s="176">
        <f>IF(Fuel!G16="","",Fuel!G16)</f>
      </c>
      <c r="H16" s="176">
        <f>'Endurance (2)'!S16</f>
        <v>0</v>
      </c>
      <c r="I16" s="176">
        <f t="shared" si="1"/>
      </c>
      <c r="J16" s="176">
        <f t="shared" si="2"/>
        <v>0</v>
      </c>
      <c r="K16" s="231">
        <f t="shared" si="3"/>
        <v>11</v>
      </c>
      <c r="L16" s="136"/>
      <c r="M16" s="176">
        <f t="shared" si="4"/>
        <v>0</v>
      </c>
    </row>
    <row r="17" spans="2:13" ht="15">
      <c r="B17" s="173">
        <f>'Team list - 2003'!A15</f>
        <v>18</v>
      </c>
      <c r="C17" s="207" t="str">
        <f>'Team list - 2003'!B15</f>
        <v>University of Melbourne</v>
      </c>
      <c r="D17" s="176">
        <f>IF(Fuel!E17="","",Fuel!E17)</f>
      </c>
      <c r="E17" s="176">
        <f>'Endurance (1)'!S17</f>
        <v>0</v>
      </c>
      <c r="F17" s="176">
        <f t="shared" si="0"/>
      </c>
      <c r="G17" s="176">
        <f>IF(Fuel!G17="","",Fuel!G17)</f>
      </c>
      <c r="H17" s="176">
        <f>'Endurance (2)'!S17</f>
        <v>0</v>
      </c>
      <c r="I17" s="176">
        <f t="shared" si="1"/>
      </c>
      <c r="J17" s="176">
        <f t="shared" si="2"/>
        <v>0</v>
      </c>
      <c r="K17" s="231">
        <f t="shared" si="3"/>
        <v>11</v>
      </c>
      <c r="L17" s="136"/>
      <c r="M17" s="176">
        <f t="shared" si="4"/>
        <v>0</v>
      </c>
    </row>
    <row r="18" spans="2:13" ht="15">
      <c r="B18" s="173">
        <f>'Team list - 2003'!A16</f>
        <v>19</v>
      </c>
      <c r="C18" s="207" t="str">
        <f>'Team list - 2003'!B16</f>
        <v>University of Braunschweig, GERMANY</v>
      </c>
      <c r="D18" s="176">
        <f>IF(Fuel!E18="","",Fuel!E18)</f>
      </c>
      <c r="E18" s="176">
        <f>'Endurance (1)'!S18</f>
        <v>0</v>
      </c>
      <c r="F18" s="176">
        <f t="shared" si="0"/>
      </c>
      <c r="G18" s="176">
        <f>IF(Fuel!G18="","",Fuel!G18)</f>
      </c>
      <c r="H18" s="176">
        <f>'Endurance (2)'!S18</f>
        <v>0</v>
      </c>
      <c r="I18" s="176">
        <f t="shared" si="1"/>
      </c>
      <c r="J18" s="176">
        <f t="shared" si="2"/>
        <v>0</v>
      </c>
      <c r="K18" s="231">
        <f t="shared" si="3"/>
        <v>11</v>
      </c>
      <c r="L18" s="136"/>
      <c r="M18" s="176">
        <f t="shared" si="4"/>
        <v>0</v>
      </c>
    </row>
    <row r="19" spans="2:13" ht="15">
      <c r="B19" s="173">
        <f>'Team list - 2003'!A17</f>
        <v>21</v>
      </c>
      <c r="C19" s="207" t="str">
        <f>'Team list - 2003'!B17</f>
        <v>Tokyo Denki University, JAPAN </v>
      </c>
      <c r="D19" s="176">
        <f>IF(Fuel!E19="","",Fuel!E19)</f>
      </c>
      <c r="E19" s="176">
        <f>'Endurance (1)'!S19</f>
        <v>0</v>
      </c>
      <c r="F19" s="176">
        <f t="shared" si="0"/>
      </c>
      <c r="G19" s="176">
        <f>IF(Fuel!G19="","",Fuel!G19)</f>
      </c>
      <c r="H19" s="176">
        <f>'Endurance (2)'!S19</f>
        <v>0</v>
      </c>
      <c r="I19" s="176">
        <f t="shared" si="1"/>
      </c>
      <c r="J19" s="176">
        <f t="shared" si="2"/>
        <v>0</v>
      </c>
      <c r="K19" s="231">
        <f t="shared" si="3"/>
        <v>11</v>
      </c>
      <c r="L19" s="136"/>
      <c r="M19" s="176">
        <f t="shared" si="4"/>
        <v>0</v>
      </c>
    </row>
    <row r="20" spans="2:13" ht="15">
      <c r="B20" s="173">
        <f>'Team list - 2003'!A18</f>
        <v>23</v>
      </c>
      <c r="C20" s="207" t="str">
        <f>'Team list - 2003'!B18</f>
        <v>Deakin University</v>
      </c>
      <c r="D20" s="176">
        <f>IF(Fuel!E20="","",Fuel!E20)</f>
      </c>
      <c r="E20" s="176">
        <f>'Endurance (1)'!S20</f>
        <v>0</v>
      </c>
      <c r="F20" s="176">
        <f t="shared" si="0"/>
      </c>
      <c r="G20" s="176">
        <f>IF(Fuel!G20="","",Fuel!G20)</f>
        <v>0</v>
      </c>
      <c r="H20" s="176">
        <f>'Endurance (2)'!S20</f>
        <v>0</v>
      </c>
      <c r="I20" s="176">
        <f t="shared" si="1"/>
        <v>0</v>
      </c>
      <c r="J20" s="176">
        <f t="shared" si="2"/>
        <v>0</v>
      </c>
      <c r="K20" s="231">
        <f t="shared" si="3"/>
        <v>11</v>
      </c>
      <c r="L20" s="136"/>
      <c r="M20" s="176">
        <f t="shared" si="4"/>
        <v>0</v>
      </c>
    </row>
    <row r="21" spans="2:13" ht="15">
      <c r="B21" s="173">
        <f>'Team list - 2003'!A19</f>
        <v>31</v>
      </c>
      <c r="C21" s="207" t="str">
        <f>'Team list - 2003'!B19</f>
        <v>Georgia Institute of Technology, USA</v>
      </c>
      <c r="D21" s="176">
        <f>IF(Fuel!E21="","",Fuel!E21)</f>
      </c>
      <c r="E21" s="176">
        <f>'Endurance (1)'!S21</f>
        <v>0</v>
      </c>
      <c r="F21" s="176">
        <f t="shared" si="0"/>
      </c>
      <c r="G21" s="176">
        <f>IF(Fuel!G21="","",Fuel!G21)</f>
        <v>32.56850170733738</v>
      </c>
      <c r="H21" s="176">
        <f>'Endurance (2)'!S21</f>
        <v>327.6587082132028</v>
      </c>
      <c r="I21" s="176">
        <f t="shared" si="1"/>
        <v>360.22720992054013</v>
      </c>
      <c r="J21" s="176">
        <f t="shared" si="2"/>
        <v>360.22720992054013</v>
      </c>
      <c r="K21" s="231">
        <f t="shared" si="3"/>
        <v>3</v>
      </c>
      <c r="L21" s="136"/>
      <c r="M21" s="176">
        <f t="shared" si="4"/>
        <v>327.6587082132028</v>
      </c>
    </row>
    <row r="22" spans="2:13" ht="15">
      <c r="B22" s="173">
        <f>'Team list - 2003'!A20</f>
        <v>35</v>
      </c>
      <c r="C22" s="207" t="str">
        <f>'Team list - 2003'!B20</f>
        <v>Chalmers University, SWEDEN </v>
      </c>
      <c r="D22" s="176">
        <f>IF(Fuel!E22="","",Fuel!E22)</f>
        <v>50</v>
      </c>
      <c r="E22" s="176">
        <f>'Endurance (1)'!S22</f>
        <v>297.522382362128</v>
      </c>
      <c r="F22" s="176">
        <f t="shared" si="0"/>
        <v>347.522382362128</v>
      </c>
      <c r="G22" s="176">
        <f>IF(Fuel!G22="","",Fuel!G22)</f>
        <v>48.55256308819855</v>
      </c>
      <c r="H22" s="176">
        <f>'Endurance (2)'!S22</f>
        <v>60.782478974298535</v>
      </c>
      <c r="I22" s="176">
        <f t="shared" si="1"/>
        <v>109.33504206249708</v>
      </c>
      <c r="J22" s="176">
        <f t="shared" si="2"/>
        <v>347.522382362128</v>
      </c>
      <c r="K22" s="231">
        <f t="shared" si="3"/>
        <v>5</v>
      </c>
      <c r="L22" s="136"/>
      <c r="M22" s="176">
        <f t="shared" si="4"/>
        <v>297.522382362128</v>
      </c>
    </row>
    <row r="23" spans="2:13" ht="15">
      <c r="B23" s="173">
        <f>'Team list - 2003'!A21</f>
        <v>41</v>
      </c>
      <c r="C23" s="207" t="str">
        <f>'Team list - 2003'!B21</f>
        <v>University of Queensland</v>
      </c>
      <c r="D23" s="176">
        <f>IF(Fuel!E23="","",Fuel!E23)</f>
        <v>23.134215880830972</v>
      </c>
      <c r="E23" s="176">
        <f>'Endurance (1)'!S23</f>
        <v>350</v>
      </c>
      <c r="F23" s="176">
        <f t="shared" si="0"/>
        <v>373.134215880831</v>
      </c>
      <c r="G23" s="176">
        <f>IF(Fuel!G23="","",Fuel!G23)</f>
        <v>27.31243924504599</v>
      </c>
      <c r="H23" s="176">
        <f>'Endurance (2)'!S23</f>
        <v>240.04662484965527</v>
      </c>
      <c r="I23" s="176">
        <f t="shared" si="1"/>
        <v>267.35906409470124</v>
      </c>
      <c r="J23" s="176">
        <f t="shared" si="2"/>
        <v>373.134215880831</v>
      </c>
      <c r="K23" s="231">
        <f t="shared" si="3"/>
        <v>2</v>
      </c>
      <c r="L23" s="136"/>
      <c r="M23" s="176">
        <f t="shared" si="4"/>
        <v>350</v>
      </c>
    </row>
    <row r="24" spans="2:13" ht="15">
      <c r="B24" s="173">
        <f>'Team list - 2003'!A22</f>
        <v>44</v>
      </c>
      <c r="C24" s="207" t="str">
        <f>'Team list - 2003'!B22</f>
        <v>University of Newcastle</v>
      </c>
      <c r="D24" s="176">
        <f>IF(Fuel!E24="","",Fuel!E24)</f>
      </c>
      <c r="E24" s="176">
        <f>'Endurance (1)'!S24</f>
        <v>0</v>
      </c>
      <c r="F24" s="176">
        <f t="shared" si="0"/>
      </c>
      <c r="G24" s="176">
        <f>IF(Fuel!G24="","",Fuel!G24)</f>
      </c>
      <c r="H24" s="176">
        <f>'Endurance (2)'!S24</f>
        <v>0</v>
      </c>
      <c r="I24" s="176">
        <f t="shared" si="1"/>
      </c>
      <c r="J24" s="176">
        <f t="shared" si="2"/>
        <v>0</v>
      </c>
      <c r="K24" s="231">
        <f t="shared" si="3"/>
        <v>11</v>
      </c>
      <c r="L24" s="136"/>
      <c r="M24" s="176">
        <f t="shared" si="4"/>
        <v>0</v>
      </c>
    </row>
    <row r="25" spans="2:13" ht="15">
      <c r="B25" s="173">
        <f>'Team list - 2003'!A23</f>
        <v>45</v>
      </c>
      <c r="C25" s="207" t="str">
        <f>'Team list - 2003'!B23</f>
        <v>RMIT University</v>
      </c>
      <c r="D25" s="176">
        <f>IF(Fuel!E25="","",Fuel!E25)</f>
      </c>
      <c r="E25" s="176">
        <f>'Endurance (1)'!S25</f>
        <v>0</v>
      </c>
      <c r="F25" s="176">
        <f t="shared" si="0"/>
      </c>
      <c r="G25" s="176">
        <f>IF(Fuel!G25="","",Fuel!G25)</f>
        <v>50</v>
      </c>
      <c r="H25" s="176">
        <f>'Endurance (2)'!S25</f>
        <v>197.2176733709743</v>
      </c>
      <c r="I25" s="176">
        <f t="shared" si="1"/>
        <v>247.2176733709743</v>
      </c>
      <c r="J25" s="176">
        <f t="shared" si="2"/>
        <v>247.2176733709743</v>
      </c>
      <c r="K25" s="231">
        <f t="shared" si="3"/>
        <v>9</v>
      </c>
      <c r="L25" s="136"/>
      <c r="M25" s="176">
        <f t="shared" si="4"/>
        <v>197.2176733709743</v>
      </c>
    </row>
    <row r="26" spans="2:13" ht="15">
      <c r="B26" s="173">
        <f>'Team list - 2003'!A24</f>
        <v>63</v>
      </c>
      <c r="C26" s="207" t="str">
        <f>'Team list - 2003'!B24</f>
        <v>University of NSW</v>
      </c>
      <c r="D26" s="176">
        <f>IF(Fuel!E26="","",Fuel!E26)</f>
        <v>46.33065221677061</v>
      </c>
      <c r="E26" s="176">
        <f>'Endurance (1)'!S26</f>
        <v>335.15093478593866</v>
      </c>
      <c r="F26" s="176">
        <f t="shared" si="0"/>
        <v>381.48158700270926</v>
      </c>
      <c r="G26" s="176">
        <f>IF(Fuel!G26="","",Fuel!G26)</f>
        <v>44.08854594579589</v>
      </c>
      <c r="H26" s="176">
        <f>'Endurance (2)'!S26</f>
        <v>188.7837148036987</v>
      </c>
      <c r="I26" s="176">
        <f t="shared" si="1"/>
        <v>232.8722607494946</v>
      </c>
      <c r="J26" s="176">
        <f t="shared" si="2"/>
        <v>381.48158700270926</v>
      </c>
      <c r="K26" s="231">
        <f t="shared" si="3"/>
        <v>1</v>
      </c>
      <c r="L26" s="136"/>
      <c r="M26" s="176">
        <f t="shared" si="4"/>
        <v>335.15093478593866</v>
      </c>
    </row>
    <row r="27" spans="2:13" ht="15.75" thickBot="1">
      <c r="B27" s="179">
        <f>'Team list - 2003'!A25</f>
        <v>66</v>
      </c>
      <c r="C27" s="180" t="str">
        <f>'Team list - 2003'!B25</f>
        <v>Monash University</v>
      </c>
      <c r="D27" s="182">
        <f>IF(Fuel!E27="","",Fuel!E27)</f>
      </c>
      <c r="E27" s="182">
        <f>'Endurance (1)'!S27</f>
        <v>0</v>
      </c>
      <c r="F27" s="182">
        <f t="shared" si="0"/>
      </c>
      <c r="G27" s="182">
        <f>IF(Fuel!G27="","",Fuel!G27)</f>
      </c>
      <c r="H27" s="182">
        <f>'Endurance (2)'!S27</f>
        <v>0</v>
      </c>
      <c r="I27" s="182">
        <f t="shared" si="1"/>
      </c>
      <c r="J27" s="182">
        <f t="shared" si="2"/>
        <v>0</v>
      </c>
      <c r="K27" s="233">
        <f t="shared" si="3"/>
        <v>11</v>
      </c>
      <c r="L27" s="136"/>
      <c r="M27" s="182">
        <f t="shared" si="4"/>
        <v>0</v>
      </c>
    </row>
    <row r="28" spans="2:9" ht="15">
      <c r="B28" s="99"/>
      <c r="C28" s="69"/>
      <c r="D28" s="103"/>
      <c r="E28" s="103"/>
      <c r="F28" s="103"/>
      <c r="G28" s="103"/>
      <c r="H28" s="103"/>
      <c r="I28" s="103"/>
    </row>
    <row r="30" spans="3:9" ht="12.75">
      <c r="C30" s="39"/>
      <c r="D30" s="103"/>
      <c r="E30" s="103"/>
      <c r="F30" s="103"/>
      <c r="G30" s="103"/>
      <c r="H30" s="103"/>
      <c r="I30" s="103"/>
    </row>
    <row r="31" spans="3:9" ht="12.75">
      <c r="C31" s="39"/>
      <c r="D31" s="103"/>
      <c r="E31" s="103"/>
      <c r="F31" s="103"/>
      <c r="G31" s="103"/>
      <c r="H31" s="103"/>
      <c r="I31" s="103"/>
    </row>
    <row r="32" spans="3:9" ht="12.75">
      <c r="C32" s="39"/>
      <c r="D32" s="103"/>
      <c r="E32" s="103"/>
      <c r="F32" s="103"/>
      <c r="G32" s="103"/>
      <c r="H32" s="103"/>
      <c r="I32" s="103"/>
    </row>
  </sheetData>
  <conditionalFormatting sqref="K7:K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horizontalCentered="1"/>
  <pageMargins left="0.1968503937007874" right="0.31496062992125984" top="0.4724409448818898" bottom="0.2362204724409449" header="0.5118110236220472" footer="0.275590551181102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Zeros="0" tabSelected="1" zoomScale="75" zoomScaleNormal="75" workbookViewId="0" topLeftCell="B1">
      <selection activeCell="O32" sqref="O32"/>
    </sheetView>
  </sheetViews>
  <sheetFormatPr defaultColWidth="9.140625" defaultRowHeight="12.75"/>
  <cols>
    <col min="1" max="1" width="0" style="0" hidden="1" customWidth="1"/>
    <col min="3" max="3" width="41.57421875" style="0" bestFit="1" customWidth="1"/>
    <col min="5" max="5" width="14.421875" style="0" bestFit="1" customWidth="1"/>
    <col min="7" max="7" width="14.28125" style="0" bestFit="1" customWidth="1"/>
    <col min="8" max="8" width="10.28125" style="0" bestFit="1" customWidth="1"/>
    <col min="9" max="9" width="12.00390625" style="0" bestFit="1" customWidth="1"/>
    <col min="10" max="10" width="11.7109375" style="0" bestFit="1" customWidth="1"/>
    <col min="13" max="13" width="13.140625" style="0" bestFit="1" customWidth="1"/>
    <col min="16" max="16" width="13.8515625" style="0" bestFit="1" customWidth="1"/>
  </cols>
  <sheetData>
    <row r="1" spans="3:10" ht="45">
      <c r="C1" s="97" t="s">
        <v>138</v>
      </c>
      <c r="D1" s="84"/>
      <c r="E1" s="84"/>
      <c r="F1" s="84"/>
      <c r="G1" s="84"/>
      <c r="H1" s="84"/>
      <c r="I1" s="84"/>
      <c r="J1" s="149"/>
    </row>
    <row r="2" ht="13.5" thickBot="1"/>
    <row r="3" spans="2:12" ht="12.75">
      <c r="B3" s="60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.75">
      <c r="B4" s="13" t="s">
        <v>6</v>
      </c>
      <c r="C4" s="9" t="s">
        <v>93</v>
      </c>
      <c r="D4" s="13" t="s">
        <v>38</v>
      </c>
      <c r="E4" s="13" t="s">
        <v>39</v>
      </c>
      <c r="F4" s="13" t="s">
        <v>37</v>
      </c>
      <c r="G4" s="13" t="s">
        <v>41</v>
      </c>
      <c r="H4" s="13" t="s">
        <v>40</v>
      </c>
      <c r="I4" s="13" t="s">
        <v>42</v>
      </c>
      <c r="J4" s="13" t="s">
        <v>43</v>
      </c>
      <c r="K4" s="13" t="s">
        <v>44</v>
      </c>
      <c r="L4" s="13" t="s">
        <v>0</v>
      </c>
    </row>
    <row r="5" spans="2:12" ht="12.75">
      <c r="B5" s="65" t="s">
        <v>7</v>
      </c>
      <c r="C5" s="13"/>
      <c r="D5" s="13"/>
      <c r="E5" s="13"/>
      <c r="F5" s="13"/>
      <c r="G5" s="13"/>
      <c r="H5" s="13"/>
      <c r="I5" s="13"/>
      <c r="J5" s="113" t="s">
        <v>187</v>
      </c>
      <c r="K5" s="13"/>
      <c r="L5" s="13" t="s">
        <v>67</v>
      </c>
    </row>
    <row r="6" spans="2:12" ht="13.5" thickBot="1">
      <c r="B6" s="66"/>
      <c r="C6" s="22"/>
      <c r="D6" s="38" t="s">
        <v>82</v>
      </c>
      <c r="E6" s="38" t="s">
        <v>98</v>
      </c>
      <c r="F6" s="38" t="s">
        <v>99</v>
      </c>
      <c r="G6" s="38" t="s">
        <v>98</v>
      </c>
      <c r="H6" s="38" t="s">
        <v>100</v>
      </c>
      <c r="I6" s="38" t="s">
        <v>99</v>
      </c>
      <c r="J6" s="38" t="s">
        <v>101</v>
      </c>
      <c r="K6" s="22"/>
      <c r="L6" s="22"/>
    </row>
    <row r="7" spans="2:15" ht="15">
      <c r="B7" s="96">
        <f>'Team list - 2003'!A5</f>
        <v>1</v>
      </c>
      <c r="C7" s="140" t="str">
        <f>'Team list - 2003'!B5</f>
        <v>University of Wollongong</v>
      </c>
      <c r="D7" s="176">
        <f>Cost!I7</f>
        <v>82.17452066467831</v>
      </c>
      <c r="E7" s="176">
        <f>Presentation!K7</f>
        <v>60.110294117647065</v>
      </c>
      <c r="F7" s="176">
        <f>IF(Design!D7="","",Design!D7)</f>
        <v>124</v>
      </c>
      <c r="G7" s="176">
        <f>'Accel.'!Q7</f>
        <v>69.6105612760297</v>
      </c>
      <c r="H7" s="176">
        <f>'Skid pad'!U7</f>
        <v>22.325062093080955</v>
      </c>
      <c r="I7" s="176">
        <f>'Auto cross'!N34</f>
        <v>131.21678009423223</v>
      </c>
      <c r="J7" s="176">
        <f>'End - Fuel (overall)'!J7</f>
        <v>277.9844728650228</v>
      </c>
      <c r="K7" s="176">
        <f>SUM(D7:J7)</f>
        <v>767.421691110691</v>
      </c>
      <c r="L7" s="231">
        <f>RANK(K7,$K$7:$K$27)</f>
        <v>6</v>
      </c>
      <c r="M7" s="94"/>
      <c r="N7" s="91"/>
      <c r="O7" s="85"/>
    </row>
    <row r="8" spans="2:15" ht="15">
      <c r="B8" s="104">
        <f>'Team list - 2003'!A6</f>
        <v>2</v>
      </c>
      <c r="C8" s="141" t="str">
        <f>'Team list - 2003'!B6</f>
        <v>University of Western Australia</v>
      </c>
      <c r="D8" s="176">
        <f>Cost!I8</f>
        <v>66.05907541542395</v>
      </c>
      <c r="E8" s="176">
        <f>Presentation!K8</f>
        <v>49.080882352941174</v>
      </c>
      <c r="F8" s="176">
        <f>IF(Design!D8="","",Design!D8)</f>
        <v>144.9</v>
      </c>
      <c r="G8" s="176">
        <f>'Accel.'!Q8</f>
        <v>59.985060287684256</v>
      </c>
      <c r="H8" s="176">
        <f>'Skid pad'!U8</f>
        <v>39.94471216663507</v>
      </c>
      <c r="I8" s="176">
        <f>'Auto cross'!N35</f>
        <v>90.12547222286597</v>
      </c>
      <c r="J8" s="176">
        <f>'End - Fuel (overall)'!J8</f>
        <v>0</v>
      </c>
      <c r="K8" s="176">
        <f aca="true" t="shared" si="0" ref="K8:K27">SUM(D8:J8)</f>
        <v>450.0952024455504</v>
      </c>
      <c r="L8" s="231">
        <f aca="true" t="shared" si="1" ref="L8:L27">RANK(K8,$K$7:$K$27)</f>
        <v>13</v>
      </c>
      <c r="M8" s="94"/>
      <c r="N8" s="91"/>
      <c r="O8" s="85"/>
    </row>
    <row r="9" spans="2:15" ht="15">
      <c r="B9" s="104">
        <f>'Team list - 2003'!A7</f>
        <v>3</v>
      </c>
      <c r="C9" s="141" t="str">
        <f>'Team list - 2003'!B7</f>
        <v>University of Sydney</v>
      </c>
      <c r="D9" s="176">
        <f>Cost!I9</f>
        <v>54.450404772049424</v>
      </c>
      <c r="E9" s="176">
        <f>Presentation!K9</f>
        <v>39.154411764705884</v>
      </c>
      <c r="F9" s="176">
        <f>IF(Design!D9="","",Design!D9)</f>
        <v>85</v>
      </c>
      <c r="G9" s="176">
        <f>'Accel.'!Q9</f>
        <v>46.55012280964875</v>
      </c>
      <c r="H9" s="176">
        <f>'Skid pad'!U9</f>
        <v>4.594225368152708</v>
      </c>
      <c r="I9" s="176">
        <f>'Auto cross'!N36</f>
        <v>60.27517089614279</v>
      </c>
      <c r="J9" s="176">
        <f>'End - Fuel (overall)'!J9</f>
        <v>193.54400385898484</v>
      </c>
      <c r="K9" s="176">
        <f t="shared" si="0"/>
        <v>483.56833946968436</v>
      </c>
      <c r="L9" s="231">
        <f t="shared" si="1"/>
        <v>12</v>
      </c>
      <c r="M9" s="94"/>
      <c r="N9" s="91"/>
      <c r="O9" s="85"/>
    </row>
    <row r="10" spans="2:15" ht="15">
      <c r="B10" s="104">
        <f>'Team list - 2003'!A8</f>
        <v>4</v>
      </c>
      <c r="C10" s="141" t="str">
        <f>'Team list - 2003'!B8</f>
        <v>Swinburne University of Technology</v>
      </c>
      <c r="D10" s="176">
        <f>Cost!I10</f>
        <v>76.16921602045164</v>
      </c>
      <c r="E10" s="176">
        <f>Presentation!K10</f>
        <v>67.69301470588235</v>
      </c>
      <c r="F10" s="176">
        <f>IF(Design!D10="","",Design!D10)</f>
        <v>143.6</v>
      </c>
      <c r="G10" s="176">
        <f>'Accel.'!Q10</f>
        <v>66.5234790464509</v>
      </c>
      <c r="H10" s="176">
        <f>'Skid pad'!U10</f>
        <v>38.58814610606412</v>
      </c>
      <c r="I10" s="176">
        <f>'Auto cross'!N37</f>
        <v>129.31501492525086</v>
      </c>
      <c r="J10" s="176">
        <f>'End - Fuel (overall)'!J10</f>
        <v>0</v>
      </c>
      <c r="K10" s="176">
        <f t="shared" si="0"/>
        <v>521.8888708041</v>
      </c>
      <c r="L10" s="231">
        <f t="shared" si="1"/>
        <v>10</v>
      </c>
      <c r="M10" s="94"/>
      <c r="N10" s="91"/>
      <c r="O10" s="85"/>
    </row>
    <row r="11" spans="2:15" ht="15">
      <c r="B11" s="104">
        <f>'Team list - 2003'!A9</f>
        <v>5</v>
      </c>
      <c r="C11" s="141" t="str">
        <f>'Team list - 2003'!B9</f>
        <v>Rochester Institute of Technology, USA</v>
      </c>
      <c r="D11" s="176">
        <f>Cost!I11</f>
        <v>85.99965913932681</v>
      </c>
      <c r="E11" s="176">
        <f>Presentation!K11</f>
        <v>64.93566176470587</v>
      </c>
      <c r="F11" s="176">
        <f>IF(Design!D11="","",Design!D11)</f>
        <v>112</v>
      </c>
      <c r="G11" s="176">
        <f>'Accel.'!Q11</f>
        <v>64.44235533473639</v>
      </c>
      <c r="H11" s="176">
        <f>'Skid pad'!U11</f>
        <v>36.98514083246721</v>
      </c>
      <c r="I11" s="176">
        <f>'Auto cross'!N38</f>
        <v>86.31725911717098</v>
      </c>
      <c r="J11" s="176">
        <f>'End - Fuel (overall)'!J11</f>
        <v>296.04879997704853</v>
      </c>
      <c r="K11" s="176">
        <f t="shared" si="0"/>
        <v>746.7288761654557</v>
      </c>
      <c r="L11" s="231">
        <f t="shared" si="1"/>
        <v>7</v>
      </c>
      <c r="M11" s="94"/>
      <c r="N11" s="91"/>
      <c r="O11" s="85"/>
    </row>
    <row r="12" spans="2:15" ht="15">
      <c r="B12" s="104">
        <f>'Team list - 2003'!A10</f>
        <v>6</v>
      </c>
      <c r="C12" s="141" t="str">
        <f>'Team list - 2003'!B10</f>
        <v>Australian National University &amp; Canberra Institute of Technology</v>
      </c>
      <c r="D12" s="176">
        <f>Cost!I12</f>
        <v>56.361205794631445</v>
      </c>
      <c r="E12" s="176">
        <f>Presentation!K12</f>
        <v>57.35294117647059</v>
      </c>
      <c r="F12" s="176">
        <f>IF(Design!D12="","",Design!D12)</f>
        <v>78.6</v>
      </c>
      <c r="G12" s="176">
        <f>'Accel.'!Q12</f>
      </c>
      <c r="H12" s="176">
        <f>'Skid pad'!U12</f>
      </c>
      <c r="I12" s="176">
        <f>'Auto cross'!N39</f>
      </c>
      <c r="J12" s="176">
        <f>'End - Fuel (overall)'!J12</f>
        <v>0</v>
      </c>
      <c r="K12" s="176">
        <f t="shared" si="0"/>
        <v>192.31414697110202</v>
      </c>
      <c r="L12" s="231">
        <f t="shared" si="1"/>
        <v>19</v>
      </c>
      <c r="M12" s="94"/>
      <c r="N12" s="91"/>
      <c r="O12" s="85"/>
    </row>
    <row r="13" spans="2:15" ht="15">
      <c r="B13" s="104">
        <f>'Team list - 2003'!A11</f>
        <v>8</v>
      </c>
      <c r="C13" s="141" t="str">
        <f>'Team list - 2003'!B11</f>
        <v>University of Technology, Sydney</v>
      </c>
      <c r="D13" s="176">
        <f>Cost!I13</f>
        <v>50.85325948018747</v>
      </c>
      <c r="E13" s="176">
        <f>Presentation!K13</f>
        <v>26.884191176470587</v>
      </c>
      <c r="F13" s="176">
        <f>IF(Design!D13="","",Design!D13)</f>
        <v>61</v>
      </c>
      <c r="G13" s="176">
        <f>'Accel.'!Q13</f>
      </c>
      <c r="H13" s="176">
        <f>'Skid pad'!U13</f>
      </c>
      <c r="I13" s="176">
        <f>'Auto cross'!N40</f>
        <v>7.5</v>
      </c>
      <c r="J13" s="176">
        <f>'End - Fuel (overall)'!J13</f>
        <v>0</v>
      </c>
      <c r="K13" s="176">
        <f t="shared" si="0"/>
        <v>146.23745065665804</v>
      </c>
      <c r="L13" s="231">
        <f t="shared" si="1"/>
        <v>20</v>
      </c>
      <c r="M13" s="94"/>
      <c r="N13" s="91"/>
      <c r="O13" s="85"/>
    </row>
    <row r="14" spans="2:15" ht="15">
      <c r="B14" s="104">
        <f>'Team list - 2003'!A12</f>
        <v>9</v>
      </c>
      <c r="C14" s="141" t="str">
        <f>'Team list - 2003'!B12</f>
        <v>The University of Adelaide</v>
      </c>
      <c r="D14" s="176">
        <f>Cost!I14</f>
        <v>64.4375585854282</v>
      </c>
      <c r="E14" s="176">
        <f>Presentation!K14</f>
        <v>58.04227941176471</v>
      </c>
      <c r="F14" s="176">
        <f>IF(Design!D14="","",Design!D14)</f>
        <v>106.8</v>
      </c>
      <c r="G14" s="176">
        <f>'Accel.'!Q14</f>
        <v>52.93832246967607</v>
      </c>
      <c r="H14" s="176">
        <f>'Skid pad'!U14</f>
        <v>26.950111790605614</v>
      </c>
      <c r="I14" s="176">
        <f>'Auto cross'!N41</f>
        <v>112.33209379980265</v>
      </c>
      <c r="J14" s="176">
        <f>'End - Fuel (overall)'!J14</f>
        <v>315.898165662329</v>
      </c>
      <c r="K14" s="176">
        <f t="shared" si="0"/>
        <v>737.3985317196062</v>
      </c>
      <c r="L14" s="231">
        <f t="shared" si="1"/>
        <v>8</v>
      </c>
      <c r="M14" s="94"/>
      <c r="N14" s="91"/>
      <c r="O14" s="85"/>
    </row>
    <row r="15" spans="2:15" ht="15">
      <c r="B15" s="104">
        <f>'Team list - 2003'!A13</f>
        <v>11</v>
      </c>
      <c r="C15" s="141" t="str">
        <f>'Team list - 2003'!B13</f>
        <v>Auburn University, USA</v>
      </c>
      <c r="D15" s="176">
        <f>Cost!I15</f>
        <v>62.755389859394974</v>
      </c>
      <c r="E15" s="176">
        <f>Presentation!K15</f>
        <v>65.07352941176471</v>
      </c>
      <c r="F15" s="176">
        <f>IF(Design!D15="","",Design!D15)</f>
        <v>120.5</v>
      </c>
      <c r="G15" s="176">
        <f>'Accel.'!Q15</f>
        <v>69.0404997818212</v>
      </c>
      <c r="H15" s="176">
        <f>'Skid pad'!U15</f>
        <v>38.85793864937923</v>
      </c>
      <c r="I15" s="176">
        <f>'Auto cross'!N42</f>
        <v>100.77082523642964</v>
      </c>
      <c r="J15" s="176">
        <f>'End - Fuel (overall)'!J15</f>
        <v>356.2349784148223</v>
      </c>
      <c r="K15" s="176">
        <f t="shared" si="0"/>
        <v>813.2331613536121</v>
      </c>
      <c r="L15" s="231">
        <f t="shared" si="1"/>
        <v>4</v>
      </c>
      <c r="M15" s="94"/>
      <c r="N15" s="91"/>
      <c r="O15" s="85"/>
    </row>
    <row r="16" spans="2:15" ht="15">
      <c r="B16" s="104">
        <f>'Team list - 2003'!A14</f>
        <v>14</v>
      </c>
      <c r="C16" s="141" t="str">
        <f>'Team list - 2003'!B14</f>
        <v>Curtin University of Technology</v>
      </c>
      <c r="D16" s="176">
        <f>Cost!I16</f>
        <v>58.63461866212186</v>
      </c>
      <c r="E16" s="176">
        <f>Presentation!K16</f>
        <v>16.544117647058822</v>
      </c>
      <c r="F16" s="176">
        <f>IF(Design!D16="","",Design!D16)</f>
        <v>66.3</v>
      </c>
      <c r="G16" s="176">
        <f>'Accel.'!Q16</f>
        <v>37.430266632654515</v>
      </c>
      <c r="H16" s="176">
        <f>'Skid pad'!U16</f>
        <v>2.5</v>
      </c>
      <c r="I16" s="176">
        <f>'Auto cross'!N43</f>
        <v>43.76161726711652</v>
      </c>
      <c r="J16" s="176">
        <f>'End - Fuel (overall)'!J16</f>
        <v>0</v>
      </c>
      <c r="K16" s="176">
        <f t="shared" si="0"/>
        <v>225.1706202089517</v>
      </c>
      <c r="L16" s="231">
        <f t="shared" si="1"/>
        <v>17</v>
      </c>
      <c r="M16" s="94"/>
      <c r="N16" s="91"/>
      <c r="O16" s="85"/>
    </row>
    <row r="17" spans="2:15" ht="15">
      <c r="B17" s="104">
        <f>'Team list - 2003'!A15</f>
        <v>18</v>
      </c>
      <c r="C17" s="141" t="str">
        <f>'Team list - 2003'!B15</f>
        <v>University of Melbourne</v>
      </c>
      <c r="D17" s="176">
        <f>Cost!I17</f>
        <v>67.62741798040051</v>
      </c>
      <c r="E17" s="176">
        <f>Presentation!K17</f>
        <v>51.838235294117645</v>
      </c>
      <c r="F17" s="176">
        <f>IF(Design!D17="","",Design!D17)</f>
        <v>107</v>
      </c>
      <c r="G17" s="176">
        <f>'Accel.'!Q17</f>
      </c>
      <c r="H17" s="176">
        <f>'Skid pad'!U17</f>
      </c>
      <c r="I17" s="176">
        <f>'Auto cross'!N44</f>
        <v>70.24362258512119</v>
      </c>
      <c r="J17" s="176">
        <f>'End - Fuel (overall)'!J17</f>
        <v>0</v>
      </c>
      <c r="K17" s="176">
        <f t="shared" si="0"/>
        <v>296.7092758596393</v>
      </c>
      <c r="L17" s="231">
        <f t="shared" si="1"/>
        <v>15</v>
      </c>
      <c r="M17" s="94"/>
      <c r="N17" s="91"/>
      <c r="O17" s="85"/>
    </row>
    <row r="18" spans="2:15" ht="15">
      <c r="B18" s="104">
        <f>'Team list - 2003'!A16</f>
        <v>19</v>
      </c>
      <c r="C18" s="141" t="str">
        <f>'Team list - 2003'!B16</f>
        <v>University of Braunschweig, GERMANY</v>
      </c>
      <c r="D18" s="176">
        <f>Cost!I18</f>
        <v>86.15549637835535</v>
      </c>
      <c r="E18" s="176">
        <f>Presentation!K18</f>
        <v>75</v>
      </c>
      <c r="F18" s="176">
        <f>IF(Design!D18="","",Design!D18)</f>
        <v>77.3</v>
      </c>
      <c r="G18" s="176">
        <f>'Accel.'!Q18</f>
      </c>
      <c r="H18" s="176">
        <f>'Skid pad'!U18</f>
      </c>
      <c r="I18" s="176">
        <f>'Auto cross'!N45</f>
      </c>
      <c r="J18" s="176">
        <f>'End - Fuel (overall)'!J18</f>
        <v>0</v>
      </c>
      <c r="K18" s="176">
        <f t="shared" si="0"/>
        <v>238.45549637835535</v>
      </c>
      <c r="L18" s="231">
        <f t="shared" si="1"/>
        <v>16</v>
      </c>
      <c r="M18" s="94"/>
      <c r="N18" s="91"/>
      <c r="O18" s="85"/>
    </row>
    <row r="19" spans="2:15" ht="15">
      <c r="B19" s="104">
        <f>'Team list - 2003'!A17</f>
        <v>21</v>
      </c>
      <c r="C19" s="141" t="str">
        <f>'Team list - 2003'!B17</f>
        <v>Tokyo Denki University, JAPAN </v>
      </c>
      <c r="D19" s="176">
        <f>Cost!I19</f>
        <v>79.70649765658287</v>
      </c>
      <c r="E19" s="176">
        <f>Presentation!K19</f>
        <v>49.356617647058826</v>
      </c>
      <c r="F19" s="176">
        <f>IF(Design!D19="","",Design!D19)</f>
        <v>85.5</v>
      </c>
      <c r="G19" s="176">
        <f>'Accel.'!Q19</f>
        <v>46.42009656448778</v>
      </c>
      <c r="H19" s="176">
        <f>'Skid pad'!U19</f>
        <v>30.092119091092524</v>
      </c>
      <c r="I19" s="176">
        <f>'Auto cross'!N46</f>
        <v>50.14794669567579</v>
      </c>
      <c r="J19" s="176">
        <f>'End - Fuel (overall)'!J19</f>
        <v>0</v>
      </c>
      <c r="K19" s="176">
        <f t="shared" si="0"/>
        <v>341.2232776548978</v>
      </c>
      <c r="L19" s="231">
        <f t="shared" si="1"/>
        <v>14</v>
      </c>
      <c r="M19" s="94"/>
      <c r="N19" s="91"/>
      <c r="O19" s="85"/>
    </row>
    <row r="20" spans="2:15" ht="15">
      <c r="B20" s="104">
        <f>'Team list - 2003'!A18</f>
        <v>23</v>
      </c>
      <c r="C20" s="141" t="str">
        <f>'Team list - 2003'!B18</f>
        <v>Deakin University</v>
      </c>
      <c r="D20" s="176">
        <f>Cost!I20</f>
        <v>56.11448657861099</v>
      </c>
      <c r="E20" s="176">
        <f>Presentation!K20</f>
        <v>55.560661764705884</v>
      </c>
      <c r="F20" s="176">
        <f>IF(Design!D20="","",Design!D20)</f>
        <v>47.9</v>
      </c>
      <c r="G20" s="176">
        <f>'Accel.'!Q20</f>
        <v>24.971953671995518</v>
      </c>
      <c r="H20" s="176">
        <f>'Skid pad'!U20</f>
        <v>2.5</v>
      </c>
      <c r="I20" s="176">
        <f>'Auto cross'!N47</f>
        <v>35.86868173511459</v>
      </c>
      <c r="J20" s="176">
        <f>'End - Fuel (overall)'!J20</f>
        <v>0</v>
      </c>
      <c r="K20" s="176">
        <f t="shared" si="0"/>
        <v>222.91578375042698</v>
      </c>
      <c r="L20" s="231">
        <f t="shared" si="1"/>
        <v>18</v>
      </c>
      <c r="M20" s="94"/>
      <c r="N20" s="91"/>
      <c r="O20" s="85"/>
    </row>
    <row r="21" spans="2:15" ht="15">
      <c r="B21" s="104">
        <f>'Team list - 2003'!A19</f>
        <v>31</v>
      </c>
      <c r="C21" s="141" t="str">
        <f>'Team list - 2003'!B19</f>
        <v>Georgia Institute of Technology, USA</v>
      </c>
      <c r="D21" s="176">
        <f>Cost!I21</f>
        <v>81.07102684277801</v>
      </c>
      <c r="E21" s="176">
        <f>Presentation!K21</f>
        <v>66.31433823529412</v>
      </c>
      <c r="F21" s="176">
        <f>IF(Design!D21="","",Design!D21)</f>
        <v>122</v>
      </c>
      <c r="G21" s="176">
        <f>'Accel.'!Q21</f>
        <v>63.91882290872731</v>
      </c>
      <c r="H21" s="176">
        <f>'Skid pad'!U21</f>
        <v>50</v>
      </c>
      <c r="I21" s="176">
        <f>'Auto cross'!N48</f>
        <v>125.01342855398887</v>
      </c>
      <c r="J21" s="176">
        <f>'End - Fuel (overall)'!J21</f>
        <v>360.22720992054013</v>
      </c>
      <c r="K21" s="176">
        <f t="shared" si="0"/>
        <v>868.5448264613285</v>
      </c>
      <c r="L21" s="231">
        <f t="shared" si="1"/>
        <v>1</v>
      </c>
      <c r="M21" s="94"/>
      <c r="N21" s="91"/>
      <c r="O21" s="85"/>
    </row>
    <row r="22" spans="2:15" ht="15">
      <c r="B22" s="104">
        <f>'Team list - 2003'!A20</f>
        <v>35</v>
      </c>
      <c r="C22" s="141" t="str">
        <f>'Team list - 2003'!B20</f>
        <v>Chalmers University, SWEDEN </v>
      </c>
      <c r="D22" s="176">
        <f>Cost!I22</f>
        <v>76.78483170004262</v>
      </c>
      <c r="E22" s="176">
        <f>Presentation!K22</f>
        <v>68.38235294117646</v>
      </c>
      <c r="F22" s="176">
        <f>IF(Design!D22="","",Design!D22)</f>
        <v>121.5</v>
      </c>
      <c r="G22" s="176">
        <f>'Accel.'!Q22</f>
        <v>75</v>
      </c>
      <c r="H22" s="176">
        <f>'Skid pad'!U22</f>
        <v>40.492700996232486</v>
      </c>
      <c r="I22" s="176">
        <f>'Auto cross'!N49</f>
        <v>126.6624040920717</v>
      </c>
      <c r="J22" s="176">
        <f>'End - Fuel (overall)'!J22</f>
        <v>347.522382362128</v>
      </c>
      <c r="K22" s="176">
        <f t="shared" si="0"/>
        <v>856.3446720916513</v>
      </c>
      <c r="L22" s="231">
        <f t="shared" si="1"/>
        <v>2</v>
      </c>
      <c r="M22" s="94"/>
      <c r="N22" s="91"/>
      <c r="O22" s="85"/>
    </row>
    <row r="23" spans="2:15" ht="15">
      <c r="B23" s="104">
        <f>'Team list - 2003'!A21</f>
        <v>41</v>
      </c>
      <c r="C23" s="141" t="str">
        <f>'Team list - 2003'!B21</f>
        <v>University of Queensland</v>
      </c>
      <c r="D23" s="176">
        <f>Cost!I23</f>
        <v>74.2961653174265</v>
      </c>
      <c r="E23" s="176">
        <f>Presentation!K23</f>
        <v>53.3547794117647</v>
      </c>
      <c r="F23" s="176">
        <f>IF(Design!D23="","",Design!D23)</f>
        <v>123.5</v>
      </c>
      <c r="G23" s="176">
        <f>'Accel.'!Q23</f>
        <v>68.44031585231217</v>
      </c>
      <c r="H23" s="176">
        <f>'Skid pad'!U23</f>
        <v>38.31910822698694</v>
      </c>
      <c r="I23" s="176">
        <f>'Auto cross'!N50</f>
        <v>85.52838118507127</v>
      </c>
      <c r="J23" s="176">
        <f>'End - Fuel (overall)'!J23</f>
        <v>373.134215880831</v>
      </c>
      <c r="K23" s="176">
        <f t="shared" si="0"/>
        <v>816.5729658743926</v>
      </c>
      <c r="L23" s="231">
        <f t="shared" si="1"/>
        <v>3</v>
      </c>
      <c r="M23" s="94"/>
      <c r="N23" s="91"/>
      <c r="O23" s="85"/>
    </row>
    <row r="24" spans="2:15" ht="15">
      <c r="B24" s="104">
        <f>'Team list - 2003'!A22</f>
        <v>44</v>
      </c>
      <c r="C24" s="141" t="str">
        <f>'Team list - 2003'!B22</f>
        <v>University of Newcastle</v>
      </c>
      <c r="D24" s="176">
        <f>Cost!I24</f>
        <v>10</v>
      </c>
      <c r="E24" s="176">
        <f>Presentation!K24</f>
        <v>48.66727941176471</v>
      </c>
      <c r="F24" s="176">
        <f>IF(Design!D24="","",Design!D24)</f>
        <v>82</v>
      </c>
      <c r="G24" s="176">
        <f>'Accel.'!Q24</f>
      </c>
      <c r="H24" s="176">
        <f>'Skid pad'!U24</f>
      </c>
      <c r="I24" s="176">
        <f>'Auto cross'!N51</f>
      </c>
      <c r="J24" s="176">
        <f>'End - Fuel (overall)'!J24</f>
        <v>0</v>
      </c>
      <c r="K24" s="176">
        <f t="shared" si="0"/>
        <v>140.6672794117647</v>
      </c>
      <c r="L24" s="231">
        <f t="shared" si="1"/>
        <v>21</v>
      </c>
      <c r="M24" s="94"/>
      <c r="N24" s="91"/>
      <c r="O24" s="85"/>
    </row>
    <row r="25" spans="2:15" ht="15">
      <c r="B25" s="104">
        <f>'Team list - 2003'!A23</f>
        <v>45</v>
      </c>
      <c r="C25" s="141" t="str">
        <f>'Team list - 2003'!B23</f>
        <v>RMIT University</v>
      </c>
      <c r="D25" s="176">
        <f>Cost!I25</f>
        <v>61.740711546655305</v>
      </c>
      <c r="E25" s="176">
        <f>Presentation!K25</f>
        <v>56.80147058823529</v>
      </c>
      <c r="F25" s="176">
        <f>IF(Design!D25="","",Design!D25)</f>
        <v>102</v>
      </c>
      <c r="G25" s="176">
        <f>'Accel.'!Q25</f>
        <v>47.45135235515837</v>
      </c>
      <c r="H25" s="176">
        <f>'Skid pad'!U25</f>
        <v>27.187912836059418</v>
      </c>
      <c r="I25" s="176">
        <f>'Auto cross'!N52</f>
        <v>146.86193193268855</v>
      </c>
      <c r="J25" s="176">
        <f>'End - Fuel (overall)'!J25</f>
        <v>247.2176733709743</v>
      </c>
      <c r="K25" s="176">
        <f t="shared" si="0"/>
        <v>689.2610526297713</v>
      </c>
      <c r="L25" s="231">
        <f t="shared" si="1"/>
        <v>9</v>
      </c>
      <c r="M25" s="94"/>
      <c r="N25" s="91"/>
      <c r="O25" s="85"/>
    </row>
    <row r="26" spans="2:15" ht="15">
      <c r="B26" s="104">
        <f>'Team list - 2003'!A24</f>
        <v>63</v>
      </c>
      <c r="C26" s="141" t="str">
        <f>'Team list - 2003'!B24</f>
        <v>University of NSW</v>
      </c>
      <c r="D26" s="176">
        <f>Cost!I26</f>
        <v>66.28317000426075</v>
      </c>
      <c r="E26" s="176">
        <f>Presentation!K26</f>
        <v>64.10845588235294</v>
      </c>
      <c r="F26" s="176">
        <f>IF(Design!D26="","",Design!D26)</f>
        <v>90.9</v>
      </c>
      <c r="G26" s="176">
        <f>'Accel.'!Q26</f>
        <v>57.74253977219244</v>
      </c>
      <c r="H26" s="176">
        <f>'Skid pad'!U26</f>
        <v>27.42635399182745</v>
      </c>
      <c r="I26" s="176">
        <f>'Auto cross'!N53</f>
        <v>97.16854145354885</v>
      </c>
      <c r="J26" s="176">
        <f>'End - Fuel (overall)'!J26</f>
        <v>381.48158700270926</v>
      </c>
      <c r="K26" s="176">
        <f t="shared" si="0"/>
        <v>785.1106481068917</v>
      </c>
      <c r="L26" s="231">
        <f t="shared" si="1"/>
        <v>5</v>
      </c>
      <c r="M26" s="94"/>
      <c r="N26" s="91"/>
      <c r="O26" s="85"/>
    </row>
    <row r="27" spans="2:15" ht="15.75" thickBot="1">
      <c r="B27" s="142">
        <f>'Team list - 2003'!A25</f>
        <v>66</v>
      </c>
      <c r="C27" s="143" t="str">
        <f>'Team list - 2003'!B25</f>
        <v>Monash University</v>
      </c>
      <c r="D27" s="182">
        <f>Cost!I27</f>
        <v>74.03953983809119</v>
      </c>
      <c r="E27" s="182">
        <f>Presentation!K27</f>
        <v>70.45036764705883</v>
      </c>
      <c r="F27" s="182">
        <f>IF(Design!D27="","",Design!D27)</f>
        <v>106</v>
      </c>
      <c r="G27" s="182">
        <f>'Accel.'!Q27</f>
        <v>50.58013705469052</v>
      </c>
      <c r="H27" s="182">
        <f>'Skid pad'!U27</f>
        <v>32.83877365516417</v>
      </c>
      <c r="I27" s="182">
        <f>'Auto cross'!N54</f>
        <v>150</v>
      </c>
      <c r="J27" s="182">
        <f>'End - Fuel (overall)'!J27</f>
        <v>0</v>
      </c>
      <c r="K27" s="182">
        <f t="shared" si="0"/>
        <v>483.9088181950047</v>
      </c>
      <c r="L27" s="233">
        <f t="shared" si="1"/>
        <v>11</v>
      </c>
      <c r="M27" s="94"/>
      <c r="N27" s="91"/>
      <c r="O27" s="85"/>
    </row>
    <row r="28" ht="13.5" thickBot="1"/>
    <row r="29" spans="5:6" ht="12.75">
      <c r="E29" s="349">
        <v>1</v>
      </c>
      <c r="F29" s="4" t="s">
        <v>175</v>
      </c>
    </row>
    <row r="30" spans="5:6" ht="12.75">
      <c r="E30" s="136">
        <v>2</v>
      </c>
      <c r="F30" s="350" t="s">
        <v>176</v>
      </c>
    </row>
    <row r="31" spans="5:6" ht="13.5" thickBot="1">
      <c r="E31" s="14">
        <v>3</v>
      </c>
      <c r="F31" s="105" t="s">
        <v>177</v>
      </c>
    </row>
    <row r="32" spans="3:13" ht="45">
      <c r="C32" s="97" t="s">
        <v>130</v>
      </c>
      <c r="D32" s="84"/>
      <c r="E32" s="84"/>
      <c r="F32" s="84"/>
      <c r="G32" s="84"/>
      <c r="H32" s="84"/>
      <c r="I32" s="84"/>
      <c r="J32" s="84"/>
      <c r="M32" s="52"/>
    </row>
    <row r="33" ht="13.5" thickBot="1">
      <c r="M33" s="52"/>
    </row>
    <row r="34" spans="2:13" ht="12.75">
      <c r="B34" s="60"/>
      <c r="C34" s="7"/>
      <c r="D34" s="7"/>
      <c r="E34" s="7"/>
      <c r="F34" s="7"/>
      <c r="G34" s="7"/>
      <c r="H34" s="7"/>
      <c r="I34" s="7"/>
      <c r="J34" s="7"/>
      <c r="K34" s="7">
        <f aca="true" t="shared" si="2" ref="K34:K58">L3</f>
        <v>0</v>
      </c>
      <c r="L34" s="11"/>
      <c r="M34" s="49"/>
    </row>
    <row r="35" spans="2:13" ht="15.75">
      <c r="B35" s="13" t="s">
        <v>6</v>
      </c>
      <c r="C35" s="9" t="s">
        <v>93</v>
      </c>
      <c r="D35" s="13" t="s">
        <v>38</v>
      </c>
      <c r="E35" s="13" t="s">
        <v>39</v>
      </c>
      <c r="F35" s="13" t="s">
        <v>37</v>
      </c>
      <c r="G35" s="13" t="s">
        <v>41</v>
      </c>
      <c r="H35" s="13" t="s">
        <v>40</v>
      </c>
      <c r="I35" s="13" t="s">
        <v>42</v>
      </c>
      <c r="J35" s="13" t="s">
        <v>43</v>
      </c>
      <c r="K35" s="13" t="str">
        <f t="shared" si="2"/>
        <v>Overall</v>
      </c>
      <c r="L35" s="11"/>
      <c r="M35" s="49"/>
    </row>
    <row r="36" spans="2:13" ht="12.75">
      <c r="B36" s="65" t="s">
        <v>7</v>
      </c>
      <c r="C36" s="13"/>
      <c r="D36" s="13"/>
      <c r="E36" s="13"/>
      <c r="F36" s="13"/>
      <c r="G36" s="13"/>
      <c r="H36" s="13"/>
      <c r="I36" s="13"/>
      <c r="J36" s="13" t="s">
        <v>192</v>
      </c>
      <c r="K36" s="13" t="str">
        <f t="shared" si="2"/>
        <v>Rank</v>
      </c>
      <c r="L36" s="11"/>
      <c r="M36" s="49"/>
    </row>
    <row r="37" spans="2:13" ht="13.5" thickBot="1">
      <c r="B37" s="66"/>
      <c r="C37" s="22"/>
      <c r="D37" s="22"/>
      <c r="E37" s="22"/>
      <c r="F37" s="22"/>
      <c r="G37" s="22"/>
      <c r="H37" s="22"/>
      <c r="I37" s="22"/>
      <c r="J37" s="22"/>
      <c r="K37" s="22">
        <f t="shared" si="2"/>
        <v>0</v>
      </c>
      <c r="L37" s="11"/>
      <c r="M37" s="49"/>
    </row>
    <row r="38" spans="2:13" ht="15">
      <c r="B38" s="169">
        <f aca="true" t="shared" si="3" ref="B38:C58">B7</f>
        <v>1</v>
      </c>
      <c r="C38" s="183" t="str">
        <f t="shared" si="3"/>
        <v>University of Wollongong</v>
      </c>
      <c r="D38" s="184">
        <f>Cost!J7</f>
        <v>3</v>
      </c>
      <c r="E38" s="184">
        <f>Presentation!L7</f>
        <v>9</v>
      </c>
      <c r="F38" s="184">
        <f>Design!E7</f>
        <v>3</v>
      </c>
      <c r="G38" s="184">
        <f>'Accel.'!R7</f>
        <v>2</v>
      </c>
      <c r="H38" s="184">
        <f>'Skid pad'!V7</f>
        <v>13</v>
      </c>
      <c r="I38" s="184">
        <f>'Auto cross'!O34</f>
        <v>3</v>
      </c>
      <c r="J38" s="184">
        <f>'End - Fuel (overall)'!K7</f>
        <v>8</v>
      </c>
      <c r="K38" s="184">
        <f t="shared" si="2"/>
        <v>6</v>
      </c>
      <c r="L38" s="103"/>
      <c r="M38" s="257"/>
    </row>
    <row r="39" spans="2:13" ht="15">
      <c r="B39" s="173">
        <f t="shared" si="3"/>
        <v>2</v>
      </c>
      <c r="C39" s="174" t="str">
        <f t="shared" si="3"/>
        <v>University of Western Australia</v>
      </c>
      <c r="D39" s="185">
        <f>Cost!J8</f>
        <v>12</v>
      </c>
      <c r="E39" s="185">
        <f>Presentation!L8</f>
        <v>17</v>
      </c>
      <c r="F39" s="185">
        <f>Design!E8</f>
        <v>1</v>
      </c>
      <c r="G39" s="185">
        <f>'Accel.'!R8</f>
        <v>8</v>
      </c>
      <c r="H39" s="185">
        <f>'Skid pad'!V8</f>
        <v>3</v>
      </c>
      <c r="I39" s="185">
        <f>'Auto cross'!O35</f>
        <v>10</v>
      </c>
      <c r="J39" s="185">
        <f>'End - Fuel (overall)'!K8</f>
        <v>11</v>
      </c>
      <c r="K39" s="185">
        <f t="shared" si="2"/>
        <v>13</v>
      </c>
      <c r="L39" s="103"/>
      <c r="M39" s="257"/>
    </row>
    <row r="40" spans="2:13" ht="15">
      <c r="B40" s="173">
        <f t="shared" si="3"/>
        <v>3</v>
      </c>
      <c r="C40" s="174" t="str">
        <f t="shared" si="3"/>
        <v>University of Sydney</v>
      </c>
      <c r="D40" s="185">
        <f>Cost!J9</f>
        <v>19</v>
      </c>
      <c r="E40" s="185">
        <f>Presentation!L9</f>
        <v>19</v>
      </c>
      <c r="F40" s="185">
        <f>Design!E9</f>
        <v>15</v>
      </c>
      <c r="G40" s="185">
        <f>'Accel.'!R9</f>
        <v>13</v>
      </c>
      <c r="H40" s="185">
        <f>'Skid pad'!V9</f>
        <v>14</v>
      </c>
      <c r="I40" s="185">
        <f>'Auto cross'!O36</f>
        <v>14</v>
      </c>
      <c r="J40" s="185">
        <f>'End - Fuel (overall)'!K9</f>
        <v>10</v>
      </c>
      <c r="K40" s="185">
        <f t="shared" si="2"/>
        <v>12</v>
      </c>
      <c r="L40" s="103"/>
      <c r="M40" s="257"/>
    </row>
    <row r="41" spans="2:13" ht="15">
      <c r="B41" s="173">
        <f t="shared" si="3"/>
        <v>4</v>
      </c>
      <c r="C41" s="174" t="str">
        <f t="shared" si="3"/>
        <v>Swinburne University of Technology</v>
      </c>
      <c r="D41" s="185">
        <f>Cost!J10</f>
        <v>7</v>
      </c>
      <c r="E41" s="185">
        <f>Presentation!L10</f>
        <v>4</v>
      </c>
      <c r="F41" s="185">
        <f>Design!E10</f>
        <v>2</v>
      </c>
      <c r="G41" s="185">
        <f>'Accel.'!R10</f>
        <v>5</v>
      </c>
      <c r="H41" s="185">
        <f>'Skid pad'!V10</f>
        <v>5</v>
      </c>
      <c r="I41" s="185">
        <f>'Auto cross'!O37</f>
        <v>4</v>
      </c>
      <c r="J41" s="185">
        <f>'End - Fuel (overall)'!K10</f>
        <v>11</v>
      </c>
      <c r="K41" s="185">
        <f t="shared" si="2"/>
        <v>10</v>
      </c>
      <c r="L41" s="103"/>
      <c r="M41" s="257"/>
    </row>
    <row r="42" spans="2:13" s="156" customFormat="1" ht="15">
      <c r="B42" s="173">
        <f t="shared" si="3"/>
        <v>5</v>
      </c>
      <c r="C42" s="174" t="str">
        <f t="shared" si="3"/>
        <v>Rochester Institute of Technology, USA</v>
      </c>
      <c r="D42" s="186">
        <f>Cost!J11</f>
        <v>2</v>
      </c>
      <c r="E42" s="186">
        <f>Presentation!L11</f>
        <v>7</v>
      </c>
      <c r="F42" s="186">
        <f>Design!E11</f>
        <v>8</v>
      </c>
      <c r="G42" s="186">
        <f>'Accel.'!R11</f>
        <v>6</v>
      </c>
      <c r="H42" s="186">
        <f>'Skid pad'!V11</f>
        <v>7</v>
      </c>
      <c r="I42" s="186">
        <f>'Auto cross'!O38</f>
        <v>11</v>
      </c>
      <c r="J42" s="186">
        <f>'End - Fuel (overall)'!K11</f>
        <v>7</v>
      </c>
      <c r="K42" s="186">
        <f t="shared" si="2"/>
        <v>7</v>
      </c>
      <c r="L42" s="168"/>
      <c r="M42" s="365"/>
    </row>
    <row r="43" spans="2:13" s="156" customFormat="1" ht="30">
      <c r="B43" s="173">
        <f t="shared" si="3"/>
        <v>6</v>
      </c>
      <c r="C43" s="174" t="str">
        <f t="shared" si="3"/>
        <v>Australian National University &amp; Canberra Institute of Technology</v>
      </c>
      <c r="D43" s="186">
        <f>Cost!J12</f>
        <v>17</v>
      </c>
      <c r="E43" s="186">
        <f>Presentation!L12</f>
        <v>11</v>
      </c>
      <c r="F43" s="186">
        <f>Design!E12</f>
        <v>17</v>
      </c>
      <c r="G43" s="186">
        <f>'Accel.'!R12</f>
      </c>
      <c r="H43" s="186">
        <f>'Skid pad'!V12</f>
      </c>
      <c r="I43" s="186">
        <f>'Auto cross'!O39</f>
      </c>
      <c r="J43" s="186">
        <f>'End - Fuel (overall)'!K12</f>
        <v>11</v>
      </c>
      <c r="K43" s="186">
        <f t="shared" si="2"/>
        <v>19</v>
      </c>
      <c r="L43" s="168"/>
      <c r="M43" s="365"/>
    </row>
    <row r="44" spans="2:13" ht="15">
      <c r="B44" s="173">
        <f t="shared" si="3"/>
        <v>8</v>
      </c>
      <c r="C44" s="174" t="str">
        <f t="shared" si="3"/>
        <v>University of Technology, Sydney</v>
      </c>
      <c r="D44" s="185">
        <f>Cost!J13</f>
        <v>20</v>
      </c>
      <c r="E44" s="185">
        <f>Presentation!L13</f>
        <v>20</v>
      </c>
      <c r="F44" s="185">
        <f>Design!E13</f>
        <v>20</v>
      </c>
      <c r="G44" s="185">
        <f>'Accel.'!R13</f>
      </c>
      <c r="H44" s="185">
        <f>'Skid pad'!V13</f>
      </c>
      <c r="I44" s="185">
        <f>'Auto cross'!O40</f>
        <v>18</v>
      </c>
      <c r="J44" s="185">
        <f>'End - Fuel (overall)'!K13</f>
        <v>11</v>
      </c>
      <c r="K44" s="185">
        <f t="shared" si="2"/>
        <v>20</v>
      </c>
      <c r="L44" s="103"/>
      <c r="M44" s="257"/>
    </row>
    <row r="45" spans="2:13" ht="15">
      <c r="B45" s="173">
        <f t="shared" si="3"/>
        <v>9</v>
      </c>
      <c r="C45" s="174" t="str">
        <f t="shared" si="3"/>
        <v>The University of Adelaide</v>
      </c>
      <c r="D45" s="185">
        <f>Cost!J14</f>
        <v>13</v>
      </c>
      <c r="E45" s="185">
        <f>Presentation!L14</f>
        <v>10</v>
      </c>
      <c r="F45" s="185">
        <f>Design!E14</f>
        <v>10</v>
      </c>
      <c r="G45" s="185">
        <f>'Accel.'!R14</f>
        <v>10</v>
      </c>
      <c r="H45" s="185">
        <f>'Skid pad'!V14</f>
        <v>12</v>
      </c>
      <c r="I45" s="185">
        <f>'Auto cross'!O41</f>
        <v>7</v>
      </c>
      <c r="J45" s="185">
        <f>'End - Fuel (overall)'!K14</f>
        <v>6</v>
      </c>
      <c r="K45" s="185">
        <f t="shared" si="2"/>
        <v>8</v>
      </c>
      <c r="L45" s="103"/>
      <c r="M45" s="257"/>
    </row>
    <row r="46" spans="2:13" ht="15">
      <c r="B46" s="173">
        <f t="shared" si="3"/>
        <v>11</v>
      </c>
      <c r="C46" s="174" t="str">
        <f t="shared" si="3"/>
        <v>Auburn University, USA</v>
      </c>
      <c r="D46" s="185">
        <f>Cost!J15</f>
        <v>14</v>
      </c>
      <c r="E46" s="185">
        <f>Presentation!L15</f>
        <v>6</v>
      </c>
      <c r="F46" s="185">
        <f>Design!E15</f>
        <v>7</v>
      </c>
      <c r="G46" s="185">
        <f>'Accel.'!R15</f>
        <v>3</v>
      </c>
      <c r="H46" s="185">
        <f>'Skid pad'!V15</f>
        <v>4</v>
      </c>
      <c r="I46" s="185">
        <f>'Auto cross'!O42</f>
        <v>8</v>
      </c>
      <c r="J46" s="185">
        <f>'End - Fuel (overall)'!K15</f>
        <v>4</v>
      </c>
      <c r="K46" s="185">
        <f t="shared" si="2"/>
        <v>4</v>
      </c>
      <c r="L46" s="103"/>
      <c r="M46" s="257"/>
    </row>
    <row r="47" spans="2:13" ht="15">
      <c r="B47" s="173">
        <f t="shared" si="3"/>
        <v>14</v>
      </c>
      <c r="C47" s="174" t="str">
        <f t="shared" si="3"/>
        <v>Curtin University of Technology</v>
      </c>
      <c r="D47" s="185">
        <f>Cost!J16</f>
        <v>16</v>
      </c>
      <c r="E47" s="185">
        <f>Presentation!L16</f>
        <v>21</v>
      </c>
      <c r="F47" s="185">
        <f>Design!E16</f>
        <v>19</v>
      </c>
      <c r="G47" s="185">
        <f>'Accel.'!R16</f>
        <v>15</v>
      </c>
      <c r="H47" s="185">
        <f>'Skid pad'!V16</f>
        <v>15</v>
      </c>
      <c r="I47" s="185">
        <f>'Auto cross'!O43</f>
        <v>16</v>
      </c>
      <c r="J47" s="185">
        <f>'End - Fuel (overall)'!K16</f>
        <v>11</v>
      </c>
      <c r="K47" s="185">
        <f t="shared" si="2"/>
        <v>17</v>
      </c>
      <c r="L47" s="103"/>
      <c r="M47" s="257"/>
    </row>
    <row r="48" spans="2:13" ht="15">
      <c r="B48" s="173">
        <f t="shared" si="3"/>
        <v>18</v>
      </c>
      <c r="C48" s="174" t="str">
        <f t="shared" si="3"/>
        <v>University of Melbourne</v>
      </c>
      <c r="D48" s="185">
        <f>Cost!J17</f>
        <v>10</v>
      </c>
      <c r="E48" s="185">
        <f>Presentation!L17</f>
        <v>15</v>
      </c>
      <c r="F48" s="185">
        <f>Design!E17</f>
        <v>9</v>
      </c>
      <c r="G48" s="185">
        <f>'Accel.'!R17</f>
      </c>
      <c r="H48" s="185">
        <f>'Skid pad'!V17</f>
      </c>
      <c r="I48" s="185">
        <f>'Auto cross'!O44</f>
        <v>13</v>
      </c>
      <c r="J48" s="185">
        <f>'End - Fuel (overall)'!K17</f>
        <v>11</v>
      </c>
      <c r="K48" s="185">
        <f t="shared" si="2"/>
        <v>15</v>
      </c>
      <c r="L48" s="103"/>
      <c r="M48" s="257"/>
    </row>
    <row r="49" spans="2:13" ht="15">
      <c r="B49" s="173">
        <f t="shared" si="3"/>
        <v>19</v>
      </c>
      <c r="C49" s="174" t="str">
        <f t="shared" si="3"/>
        <v>University of Braunschweig, GERMANY</v>
      </c>
      <c r="D49" s="185">
        <f>Cost!J18</f>
        <v>1</v>
      </c>
      <c r="E49" s="185">
        <f>Presentation!L18</f>
        <v>1</v>
      </c>
      <c r="F49" s="185">
        <f>Design!E18</f>
        <v>18</v>
      </c>
      <c r="G49" s="185">
        <f>'Accel.'!R18</f>
      </c>
      <c r="H49" s="185">
        <f>'Skid pad'!V18</f>
      </c>
      <c r="I49" s="185">
        <f>'Auto cross'!O45</f>
      </c>
      <c r="J49" s="185">
        <f>'End - Fuel (overall)'!K18</f>
        <v>11</v>
      </c>
      <c r="K49" s="185">
        <f t="shared" si="2"/>
        <v>16</v>
      </c>
      <c r="L49" s="103"/>
      <c r="M49" s="257"/>
    </row>
    <row r="50" spans="2:13" ht="15">
      <c r="B50" s="173">
        <f t="shared" si="3"/>
        <v>21</v>
      </c>
      <c r="C50" s="174" t="str">
        <f t="shared" si="3"/>
        <v>Tokyo Denki University, JAPAN </v>
      </c>
      <c r="D50" s="185">
        <f>Cost!J19</f>
        <v>5</v>
      </c>
      <c r="E50" s="185">
        <f>Presentation!L19</f>
        <v>16</v>
      </c>
      <c r="F50" s="185">
        <f>Design!E19</f>
        <v>14</v>
      </c>
      <c r="G50" s="185">
        <f>'Accel.'!R19</f>
        <v>14</v>
      </c>
      <c r="H50" s="185">
        <f>'Skid pad'!V19</f>
        <v>9</v>
      </c>
      <c r="I50" s="185">
        <f>'Auto cross'!O46</f>
        <v>15</v>
      </c>
      <c r="J50" s="185">
        <f>'End - Fuel (overall)'!K19</f>
        <v>11</v>
      </c>
      <c r="K50" s="185">
        <f t="shared" si="2"/>
        <v>14</v>
      </c>
      <c r="L50" s="103"/>
      <c r="M50" s="257"/>
    </row>
    <row r="51" spans="2:13" ht="15">
      <c r="B51" s="173">
        <f t="shared" si="3"/>
        <v>23</v>
      </c>
      <c r="C51" s="174" t="str">
        <f t="shared" si="3"/>
        <v>Deakin University</v>
      </c>
      <c r="D51" s="185">
        <f>Cost!J20</f>
        <v>18</v>
      </c>
      <c r="E51" s="185">
        <f>Presentation!L20</f>
        <v>13</v>
      </c>
      <c r="F51" s="185">
        <f>Design!E20</f>
        <v>21</v>
      </c>
      <c r="G51" s="185">
        <f>'Accel.'!R20</f>
        <v>16</v>
      </c>
      <c r="H51" s="185">
        <f>'Skid pad'!V20</f>
        <v>15</v>
      </c>
      <c r="I51" s="185">
        <f>'Auto cross'!O47</f>
        <v>17</v>
      </c>
      <c r="J51" s="185">
        <f>'End - Fuel (overall)'!K20</f>
        <v>11</v>
      </c>
      <c r="K51" s="185">
        <f t="shared" si="2"/>
        <v>18</v>
      </c>
      <c r="L51" s="103"/>
      <c r="M51" s="257"/>
    </row>
    <row r="52" spans="2:13" ht="15">
      <c r="B52" s="173">
        <f t="shared" si="3"/>
        <v>31</v>
      </c>
      <c r="C52" s="174" t="str">
        <f t="shared" si="3"/>
        <v>Georgia Institute of Technology, USA</v>
      </c>
      <c r="D52" s="185">
        <f>Cost!J21</f>
        <v>4</v>
      </c>
      <c r="E52" s="185">
        <f>Presentation!L21</f>
        <v>5</v>
      </c>
      <c r="F52" s="185">
        <f>Design!E21</f>
        <v>5</v>
      </c>
      <c r="G52" s="185">
        <f>'Accel.'!R21</f>
        <v>7</v>
      </c>
      <c r="H52" s="185">
        <f>'Skid pad'!V21</f>
        <v>1</v>
      </c>
      <c r="I52" s="185">
        <f>'Auto cross'!O48</f>
        <v>6</v>
      </c>
      <c r="J52" s="185">
        <f>'End - Fuel (overall)'!K21</f>
        <v>3</v>
      </c>
      <c r="K52" s="185">
        <f t="shared" si="2"/>
        <v>1</v>
      </c>
      <c r="L52" s="103"/>
      <c r="M52" s="257"/>
    </row>
    <row r="53" spans="2:13" ht="15">
      <c r="B53" s="173">
        <f t="shared" si="3"/>
        <v>35</v>
      </c>
      <c r="C53" s="174" t="str">
        <f t="shared" si="3"/>
        <v>Chalmers University, SWEDEN </v>
      </c>
      <c r="D53" s="185">
        <f>Cost!J22</f>
        <v>6</v>
      </c>
      <c r="E53" s="185">
        <f>Presentation!L22</f>
        <v>3</v>
      </c>
      <c r="F53" s="185">
        <f>Design!E22</f>
        <v>6</v>
      </c>
      <c r="G53" s="185">
        <f>'Accel.'!R22</f>
        <v>1</v>
      </c>
      <c r="H53" s="185">
        <f>'Skid pad'!V22</f>
        <v>2</v>
      </c>
      <c r="I53" s="185">
        <f>'Auto cross'!O49</f>
        <v>5</v>
      </c>
      <c r="J53" s="185">
        <f>'End - Fuel (overall)'!K22</f>
        <v>5</v>
      </c>
      <c r="K53" s="185">
        <f t="shared" si="2"/>
        <v>2</v>
      </c>
      <c r="L53" s="103"/>
      <c r="M53" s="257"/>
    </row>
    <row r="54" spans="2:13" ht="15">
      <c r="B54" s="173">
        <f t="shared" si="3"/>
        <v>41</v>
      </c>
      <c r="C54" s="174" t="str">
        <f t="shared" si="3"/>
        <v>University of Queensland</v>
      </c>
      <c r="D54" s="185">
        <f>Cost!J23</f>
        <v>8</v>
      </c>
      <c r="E54" s="185">
        <f>Presentation!L23</f>
        <v>14</v>
      </c>
      <c r="F54" s="185">
        <f>Design!E23</f>
        <v>4</v>
      </c>
      <c r="G54" s="185">
        <f>'Accel.'!R23</f>
        <v>4</v>
      </c>
      <c r="H54" s="185">
        <f>'Skid pad'!V23</f>
        <v>6</v>
      </c>
      <c r="I54" s="185">
        <f>'Auto cross'!O50</f>
        <v>12</v>
      </c>
      <c r="J54" s="185">
        <f>'End - Fuel (overall)'!K23</f>
        <v>2</v>
      </c>
      <c r="K54" s="185">
        <f t="shared" si="2"/>
        <v>3</v>
      </c>
      <c r="L54" s="103"/>
      <c r="M54" s="257"/>
    </row>
    <row r="55" spans="2:13" ht="15">
      <c r="B55" s="173">
        <f t="shared" si="3"/>
        <v>44</v>
      </c>
      <c r="C55" s="174" t="str">
        <f t="shared" si="3"/>
        <v>University of Newcastle</v>
      </c>
      <c r="D55" s="185">
        <f>Cost!J24</f>
        <v>21</v>
      </c>
      <c r="E55" s="185">
        <f>Presentation!L24</f>
        <v>18</v>
      </c>
      <c r="F55" s="185">
        <f>Design!E24</f>
        <v>16</v>
      </c>
      <c r="G55" s="185">
        <f>'Accel.'!R24</f>
      </c>
      <c r="H55" s="185">
        <f>'Skid pad'!V24</f>
      </c>
      <c r="I55" s="185">
        <f>'Auto cross'!O51</f>
      </c>
      <c r="J55" s="185">
        <f>'End - Fuel (overall)'!K24</f>
        <v>11</v>
      </c>
      <c r="K55" s="185">
        <f t="shared" si="2"/>
        <v>21</v>
      </c>
      <c r="L55" s="103"/>
      <c r="M55" s="257"/>
    </row>
    <row r="56" spans="2:13" ht="15">
      <c r="B56" s="173">
        <f t="shared" si="3"/>
        <v>45</v>
      </c>
      <c r="C56" s="174" t="str">
        <f t="shared" si="3"/>
        <v>RMIT University</v>
      </c>
      <c r="D56" s="185">
        <f>Cost!J25</f>
        <v>15</v>
      </c>
      <c r="E56" s="185">
        <f>Presentation!L25</f>
        <v>12</v>
      </c>
      <c r="F56" s="185">
        <f>Design!E25</f>
        <v>12</v>
      </c>
      <c r="G56" s="185">
        <f>'Accel.'!R25</f>
        <v>12</v>
      </c>
      <c r="H56" s="185">
        <f>'Skid pad'!V25</f>
        <v>11</v>
      </c>
      <c r="I56" s="185">
        <f>'Auto cross'!O52</f>
        <v>2</v>
      </c>
      <c r="J56" s="185">
        <f>'End - Fuel (overall)'!K25</f>
        <v>9</v>
      </c>
      <c r="K56" s="185">
        <f t="shared" si="2"/>
        <v>9</v>
      </c>
      <c r="L56" s="103"/>
      <c r="M56" s="257"/>
    </row>
    <row r="57" spans="2:13" ht="15">
      <c r="B57" s="173">
        <f t="shared" si="3"/>
        <v>63</v>
      </c>
      <c r="C57" s="174" t="str">
        <f t="shared" si="3"/>
        <v>University of NSW</v>
      </c>
      <c r="D57" s="185">
        <f>Cost!J26</f>
        <v>11</v>
      </c>
      <c r="E57" s="185">
        <f>Presentation!L26</f>
        <v>8</v>
      </c>
      <c r="F57" s="185">
        <f>Design!E26</f>
        <v>13</v>
      </c>
      <c r="G57" s="185">
        <f>'Accel.'!R26</f>
        <v>9</v>
      </c>
      <c r="H57" s="185">
        <f>'Skid pad'!V26</f>
        <v>10</v>
      </c>
      <c r="I57" s="185">
        <f>'Auto cross'!O53</f>
        <v>9</v>
      </c>
      <c r="J57" s="185">
        <f>'End - Fuel (overall)'!K26</f>
        <v>1</v>
      </c>
      <c r="K57" s="185">
        <f t="shared" si="2"/>
        <v>5</v>
      </c>
      <c r="L57" s="103"/>
      <c r="M57" s="257"/>
    </row>
    <row r="58" spans="2:13" ht="15.75" thickBot="1">
      <c r="B58" s="179">
        <f t="shared" si="3"/>
        <v>66</v>
      </c>
      <c r="C58" s="180" t="str">
        <f t="shared" si="3"/>
        <v>Monash University</v>
      </c>
      <c r="D58" s="187">
        <f>Cost!J27</f>
        <v>9</v>
      </c>
      <c r="E58" s="187">
        <f>Presentation!L27</f>
        <v>2</v>
      </c>
      <c r="F58" s="187">
        <f>Design!E27</f>
        <v>11</v>
      </c>
      <c r="G58" s="187">
        <f>'Accel.'!R27</f>
        <v>11</v>
      </c>
      <c r="H58" s="187">
        <f>'Skid pad'!V27</f>
        <v>8</v>
      </c>
      <c r="I58" s="187">
        <f>'Auto cross'!O54</f>
        <v>1</v>
      </c>
      <c r="J58" s="187">
        <f>'End - Fuel (overall)'!K27</f>
        <v>11</v>
      </c>
      <c r="K58" s="187">
        <f t="shared" si="2"/>
        <v>11</v>
      </c>
      <c r="L58" s="103"/>
      <c r="M58" s="257"/>
    </row>
    <row r="59" ht="12.75">
      <c r="M59" s="52"/>
    </row>
    <row r="60" ht="12.75">
      <c r="M60" s="52"/>
    </row>
  </sheetData>
  <conditionalFormatting sqref="L7:L27 E29:E31 D38:K58 M38:M5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2" right="0.23" top="0.18" bottom="0.2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5" zoomScaleNormal="75" workbookViewId="0" topLeftCell="A1">
      <selection activeCell="K23" sqref="K23"/>
    </sheetView>
  </sheetViews>
  <sheetFormatPr defaultColWidth="9.140625" defaultRowHeight="12.75"/>
  <cols>
    <col min="2" max="2" width="41.8515625" style="0" customWidth="1"/>
    <col min="3" max="4" width="14.8515625" style="55" bestFit="1" customWidth="1"/>
    <col min="5" max="5" width="16.00390625" style="55" bestFit="1" customWidth="1"/>
    <col min="6" max="6" width="9.00390625" style="55" bestFit="1" customWidth="1"/>
    <col min="7" max="7" width="9.00390625" style="55" customWidth="1"/>
    <col min="8" max="8" width="0.42578125" style="0" hidden="1" customWidth="1"/>
    <col min="9" max="9" width="9.140625" style="55" customWidth="1"/>
  </cols>
  <sheetData>
    <row r="1" spans="1:2" ht="45">
      <c r="A1" s="84" t="s">
        <v>178</v>
      </c>
      <c r="B1" s="95"/>
    </row>
    <row r="2" ht="13.5" thickBot="1"/>
    <row r="3" spans="1:9" ht="12.75">
      <c r="A3" s="60"/>
      <c r="B3" s="7"/>
      <c r="C3" s="60"/>
      <c r="D3" s="60"/>
      <c r="E3" s="60"/>
      <c r="F3" s="60"/>
      <c r="G3" s="7"/>
      <c r="I3" s="7"/>
    </row>
    <row r="4" spans="1:9" ht="12.75">
      <c r="A4" s="13" t="s">
        <v>6</v>
      </c>
      <c r="B4" s="13" t="s">
        <v>93</v>
      </c>
      <c r="C4" s="13" t="s">
        <v>40</v>
      </c>
      <c r="D4" s="13" t="s">
        <v>41</v>
      </c>
      <c r="E4" s="13" t="s">
        <v>42</v>
      </c>
      <c r="F4" s="13" t="s">
        <v>189</v>
      </c>
      <c r="G4" s="13" t="s">
        <v>179</v>
      </c>
      <c r="I4" s="13" t="s">
        <v>67</v>
      </c>
    </row>
    <row r="5" spans="1:9" ht="12.75">
      <c r="A5" s="65" t="s">
        <v>7</v>
      </c>
      <c r="B5" s="13"/>
      <c r="C5" s="65"/>
      <c r="D5" s="65"/>
      <c r="E5" s="65"/>
      <c r="F5" s="65" t="s">
        <v>190</v>
      </c>
      <c r="G5" s="13"/>
      <c r="I5" s="13"/>
    </row>
    <row r="6" spans="1:9" ht="13.5" thickBot="1">
      <c r="A6" s="66"/>
      <c r="B6" s="22"/>
      <c r="C6" s="66"/>
      <c r="D6" s="66"/>
      <c r="E6" s="66"/>
      <c r="F6" s="66"/>
      <c r="G6" s="22"/>
      <c r="I6" s="22"/>
    </row>
    <row r="7" spans="1:9" ht="15">
      <c r="A7" s="329">
        <v>1</v>
      </c>
      <c r="B7" s="330" t="s">
        <v>50</v>
      </c>
      <c r="C7" s="351">
        <f>'Skid pad'!U7</f>
        <v>22.325062093080955</v>
      </c>
      <c r="D7" s="351">
        <f>'Accel.'!Q7</f>
        <v>69.6105612760297</v>
      </c>
      <c r="E7" s="351">
        <f>'Auto cross'!N34</f>
        <v>131.21678009423223</v>
      </c>
      <c r="F7" s="351">
        <f>'End - Fuel (overall)'!M7</f>
        <v>243.2541369895216</v>
      </c>
      <c r="G7" s="351">
        <f>SUM(C7:F7)</f>
        <v>466.40654045286453</v>
      </c>
      <c r="H7" s="351">
        <v>512.432870869738</v>
      </c>
      <c r="I7" s="231">
        <f>RANK(G7,G$7:G$27)</f>
        <v>7</v>
      </c>
    </row>
    <row r="8" spans="1:9" ht="15">
      <c r="A8" s="325">
        <v>2</v>
      </c>
      <c r="B8" s="326" t="s">
        <v>49</v>
      </c>
      <c r="C8" s="352">
        <f>'Skid pad'!U8</f>
        <v>39.94471216663507</v>
      </c>
      <c r="D8" s="352">
        <f>'Accel.'!Q8</f>
        <v>59.985060287684256</v>
      </c>
      <c r="E8" s="352">
        <f>'Auto cross'!N35</f>
        <v>90.12547222286597</v>
      </c>
      <c r="F8" s="352">
        <f>'End - Fuel (overall)'!M8</f>
        <v>0</v>
      </c>
      <c r="G8" s="352">
        <f aca="true" t="shared" si="0" ref="G8:G27">SUM(C8:F8)</f>
        <v>190.0552446771853</v>
      </c>
      <c r="H8">
        <v>192.8557793767397</v>
      </c>
      <c r="I8" s="231">
        <f aca="true" t="shared" si="1" ref="I8:I27">RANK(G8,G$7:G$27)</f>
        <v>13</v>
      </c>
    </row>
    <row r="9" spans="1:9" ht="15">
      <c r="A9" s="325">
        <v>3</v>
      </c>
      <c r="B9" s="326" t="s">
        <v>48</v>
      </c>
      <c r="C9" s="352">
        <f>'Skid pad'!U9</f>
        <v>4.594225368152708</v>
      </c>
      <c r="D9" s="352">
        <f>'Accel.'!Q9</f>
        <v>46.55012280964875</v>
      </c>
      <c r="E9" s="352">
        <f>'Auto cross'!N36</f>
        <v>60.27517089614279</v>
      </c>
      <c r="F9" s="352">
        <f>'End - Fuel (overall)'!M9</f>
        <v>169.4573695921253</v>
      </c>
      <c r="G9" s="352">
        <f t="shared" si="0"/>
        <v>280.87688866606953</v>
      </c>
      <c r="H9">
        <v>338.29629195877374</v>
      </c>
      <c r="I9" s="231">
        <f t="shared" si="1"/>
        <v>10</v>
      </c>
    </row>
    <row r="10" spans="1:9" ht="15">
      <c r="A10" s="325">
        <v>4</v>
      </c>
      <c r="B10" s="326" t="s">
        <v>107</v>
      </c>
      <c r="C10" s="352">
        <f>'Skid pad'!U10</f>
        <v>38.58814610606412</v>
      </c>
      <c r="D10" s="352">
        <f>'Accel.'!Q10</f>
        <v>66.5234790464509</v>
      </c>
      <c r="E10" s="352">
        <f>'Auto cross'!N37</f>
        <v>129.31501492525086</v>
      </c>
      <c r="F10" s="352">
        <f>'End - Fuel (overall)'!M10</f>
        <v>0</v>
      </c>
      <c r="G10" s="352">
        <f t="shared" si="0"/>
        <v>234.42664007776588</v>
      </c>
      <c r="H10">
        <v>238.408627264809</v>
      </c>
      <c r="I10" s="231">
        <f t="shared" si="1"/>
        <v>11</v>
      </c>
    </row>
    <row r="11" spans="1:9" ht="15">
      <c r="A11" s="325">
        <v>5</v>
      </c>
      <c r="B11" s="326" t="s">
        <v>108</v>
      </c>
      <c r="C11" s="352">
        <f>'Skid pad'!U11</f>
        <v>36.98514083246721</v>
      </c>
      <c r="D11" s="352">
        <f>'Accel.'!Q11</f>
        <v>64.44235533473639</v>
      </c>
      <c r="E11" s="352">
        <f>'Auto cross'!N38</f>
        <v>86.31725911717098</v>
      </c>
      <c r="F11" s="352">
        <f>'End - Fuel (overall)'!M11</f>
        <v>265.5511078413207</v>
      </c>
      <c r="G11" s="352">
        <f t="shared" si="0"/>
        <v>453.2958631256953</v>
      </c>
      <c r="H11">
        <v>504.3279087296361</v>
      </c>
      <c r="I11" s="231">
        <f t="shared" si="1"/>
        <v>8</v>
      </c>
    </row>
    <row r="12" spans="1:9" ht="30">
      <c r="A12" s="173">
        <v>6</v>
      </c>
      <c r="B12" s="174" t="s">
        <v>109</v>
      </c>
      <c r="C12" s="353">
        <f>'Skid pad'!U12</f>
      </c>
      <c r="D12" s="353">
        <f>'Accel.'!Q12</f>
      </c>
      <c r="E12" s="353">
        <f>'Auto cross'!N39</f>
      </c>
      <c r="F12" s="353">
        <f>'End - Fuel (overall)'!M12</f>
        <v>0</v>
      </c>
      <c r="G12" s="353">
        <f t="shared" si="0"/>
        <v>0</v>
      </c>
      <c r="H12">
        <v>0</v>
      </c>
      <c r="I12" s="231">
        <f t="shared" si="1"/>
        <v>19</v>
      </c>
    </row>
    <row r="13" spans="1:9" ht="15">
      <c r="A13" s="325">
        <v>8</v>
      </c>
      <c r="B13" s="326" t="s">
        <v>87</v>
      </c>
      <c r="C13" s="352">
        <f>'Skid pad'!U13</f>
      </c>
      <c r="D13" s="352">
        <f>'Accel.'!Q13</f>
      </c>
      <c r="E13" s="352">
        <f>'Auto cross'!N40</f>
        <v>7.5</v>
      </c>
      <c r="F13" s="352">
        <f>'End - Fuel (overall)'!M13</f>
        <v>0</v>
      </c>
      <c r="G13" s="352">
        <f t="shared" si="0"/>
        <v>7.5</v>
      </c>
      <c r="H13">
        <v>0</v>
      </c>
      <c r="I13" s="231">
        <f t="shared" si="1"/>
        <v>18</v>
      </c>
    </row>
    <row r="14" spans="1:9" ht="15">
      <c r="A14" s="325">
        <v>9</v>
      </c>
      <c r="B14" s="326" t="s">
        <v>110</v>
      </c>
      <c r="C14" s="352">
        <f>'Skid pad'!U14</f>
        <v>26.950111790605614</v>
      </c>
      <c r="D14" s="352">
        <f>'Accel.'!Q14</f>
        <v>52.93832246967607</v>
      </c>
      <c r="E14" s="352">
        <f>'Auto cross'!N41</f>
        <v>112.33209379980265</v>
      </c>
      <c r="F14" s="352">
        <f>'End - Fuel (overall)'!M14</f>
        <v>276.62753692361514</v>
      </c>
      <c r="G14" s="352">
        <f t="shared" si="0"/>
        <v>468.8480649836995</v>
      </c>
      <c r="H14">
        <v>500.2871938307792</v>
      </c>
      <c r="I14" s="231">
        <f t="shared" si="1"/>
        <v>6</v>
      </c>
    </row>
    <row r="15" spans="1:9" ht="15">
      <c r="A15" s="325">
        <v>11</v>
      </c>
      <c r="B15" s="326" t="s">
        <v>111</v>
      </c>
      <c r="C15" s="352">
        <f>'Skid pad'!U15</f>
        <v>38.85793864937923</v>
      </c>
      <c r="D15" s="352">
        <f>'Accel.'!Q15</f>
        <v>69.0404997818212</v>
      </c>
      <c r="E15" s="352">
        <f>'Auto cross'!N42</f>
        <v>100.77082523642964</v>
      </c>
      <c r="F15" s="352">
        <f>'End - Fuel (overall)'!M15</f>
        <v>350</v>
      </c>
      <c r="G15" s="352">
        <f t="shared" si="0"/>
        <v>558.66926366763</v>
      </c>
      <c r="H15">
        <v>534.7228377050881</v>
      </c>
      <c r="I15" s="231">
        <f t="shared" si="1"/>
        <v>2</v>
      </c>
    </row>
    <row r="16" spans="1:9" ht="15">
      <c r="A16" s="325">
        <v>14</v>
      </c>
      <c r="B16" s="326" t="s">
        <v>112</v>
      </c>
      <c r="C16" s="352">
        <f>'Skid pad'!U16</f>
        <v>2.5</v>
      </c>
      <c r="D16" s="352">
        <f>'Accel.'!Q16</f>
        <v>37.430266632654515</v>
      </c>
      <c r="E16" s="352">
        <f>'Auto cross'!N43</f>
        <v>43.76161726711652</v>
      </c>
      <c r="F16" s="352">
        <f>'End - Fuel (overall)'!M16</f>
        <v>0</v>
      </c>
      <c r="G16" s="352">
        <f t="shared" si="0"/>
        <v>83.69188389977103</v>
      </c>
      <c r="H16">
        <v>82.98843772679811</v>
      </c>
      <c r="I16" s="231">
        <f t="shared" si="1"/>
        <v>15</v>
      </c>
    </row>
    <row r="17" spans="1:9" ht="15">
      <c r="A17" s="325">
        <v>18</v>
      </c>
      <c r="B17" s="326" t="s">
        <v>86</v>
      </c>
      <c r="C17" s="352">
        <f>'Skid pad'!U17</f>
      </c>
      <c r="D17" s="352">
        <f>'Accel.'!Q17</f>
      </c>
      <c r="E17" s="352">
        <f>'Auto cross'!N44</f>
        <v>70.24362258512119</v>
      </c>
      <c r="F17" s="352">
        <f>'End - Fuel (overall)'!M17</f>
        <v>0</v>
      </c>
      <c r="G17" s="352">
        <f t="shared" si="0"/>
        <v>70.24362258512119</v>
      </c>
      <c r="H17">
        <v>66.04591851065389</v>
      </c>
      <c r="I17" s="231">
        <f t="shared" si="1"/>
        <v>16</v>
      </c>
    </row>
    <row r="18" spans="1:9" ht="15">
      <c r="A18" s="325">
        <v>19</v>
      </c>
      <c r="B18" s="326" t="s">
        <v>113</v>
      </c>
      <c r="C18" s="352">
        <f>'Skid pad'!U18</f>
      </c>
      <c r="D18" s="352">
        <f>'Accel.'!Q18</f>
      </c>
      <c r="E18" s="352">
        <f>'Auto cross'!N45</f>
      </c>
      <c r="F18" s="352">
        <f>'End - Fuel (overall)'!M18</f>
        <v>0</v>
      </c>
      <c r="G18" s="352">
        <f t="shared" si="0"/>
        <v>0</v>
      </c>
      <c r="H18">
        <v>0</v>
      </c>
      <c r="I18" s="231">
        <f t="shared" si="1"/>
        <v>19</v>
      </c>
    </row>
    <row r="19" spans="1:9" ht="15">
      <c r="A19" s="325">
        <v>21</v>
      </c>
      <c r="B19" s="326" t="s">
        <v>114</v>
      </c>
      <c r="C19" s="352">
        <f>'Skid pad'!U19</f>
        <v>30.092119091092524</v>
      </c>
      <c r="D19" s="352">
        <f>'Accel.'!Q19</f>
        <v>46.42009656448778</v>
      </c>
      <c r="E19" s="352">
        <f>'Auto cross'!N46</f>
        <v>50.14794669567579</v>
      </c>
      <c r="F19" s="352">
        <f>'End - Fuel (overall)'!M19</f>
        <v>0</v>
      </c>
      <c r="G19" s="352">
        <f t="shared" si="0"/>
        <v>126.6601623512561</v>
      </c>
      <c r="H19">
        <v>132.9628491531078</v>
      </c>
      <c r="I19" s="231">
        <f t="shared" si="1"/>
        <v>14</v>
      </c>
    </row>
    <row r="20" spans="1:9" ht="15">
      <c r="A20" s="325">
        <v>23</v>
      </c>
      <c r="B20" s="326" t="s">
        <v>45</v>
      </c>
      <c r="C20" s="352">
        <f>'Skid pad'!U20</f>
        <v>2.5</v>
      </c>
      <c r="D20" s="352">
        <f>'Accel.'!Q20</f>
        <v>24.971953671995518</v>
      </c>
      <c r="E20" s="352">
        <f>'Auto cross'!N47</f>
        <v>35.86868173511459</v>
      </c>
      <c r="F20" s="352">
        <f>'End - Fuel (overall)'!M20</f>
        <v>0</v>
      </c>
      <c r="G20" s="352">
        <f t="shared" si="0"/>
        <v>63.34063540711011</v>
      </c>
      <c r="H20">
        <v>116.58695983897962</v>
      </c>
      <c r="I20" s="231">
        <f t="shared" si="1"/>
        <v>17</v>
      </c>
    </row>
    <row r="21" spans="1:9" ht="15">
      <c r="A21" s="325">
        <v>31</v>
      </c>
      <c r="B21" s="326" t="s">
        <v>115</v>
      </c>
      <c r="C21" s="352">
        <f>'Skid pad'!U21</f>
        <v>50</v>
      </c>
      <c r="D21" s="352">
        <f>'Accel.'!Q21</f>
        <v>63.91882290872731</v>
      </c>
      <c r="E21" s="352">
        <f>'Auto cross'!N48</f>
        <v>125.01342855398887</v>
      </c>
      <c r="F21" s="352">
        <f>'End - Fuel (overall)'!M21</f>
        <v>327.6587082132028</v>
      </c>
      <c r="G21" s="352">
        <f t="shared" si="0"/>
        <v>566.590959675919</v>
      </c>
      <c r="H21">
        <v>589.7962703106413</v>
      </c>
      <c r="I21" s="231">
        <f t="shared" si="1"/>
        <v>1</v>
      </c>
    </row>
    <row r="22" spans="1:9" ht="15">
      <c r="A22" s="325">
        <v>35</v>
      </c>
      <c r="B22" s="326" t="s">
        <v>116</v>
      </c>
      <c r="C22" s="352">
        <f>'Skid pad'!U22</f>
        <v>40.492700996232486</v>
      </c>
      <c r="D22" s="352">
        <f>'Accel.'!Q22</f>
        <v>75</v>
      </c>
      <c r="E22" s="352">
        <f>'Auto cross'!N49</f>
        <v>126.6624040920717</v>
      </c>
      <c r="F22" s="352">
        <f>'End - Fuel (overall)'!M22</f>
        <v>297.522382362128</v>
      </c>
      <c r="G22" s="352">
        <f t="shared" si="0"/>
        <v>539.6774874504322</v>
      </c>
      <c r="H22">
        <v>532.9036781185299</v>
      </c>
      <c r="I22" s="231">
        <f t="shared" si="1"/>
        <v>4</v>
      </c>
    </row>
    <row r="23" spans="1:9" ht="15">
      <c r="A23" s="325">
        <v>41</v>
      </c>
      <c r="B23" s="326" t="s">
        <v>47</v>
      </c>
      <c r="C23" s="352">
        <f>'Skid pad'!U23</f>
        <v>38.31910822698694</v>
      </c>
      <c r="D23" s="352">
        <f>'Accel.'!Q23</f>
        <v>68.44031585231217</v>
      </c>
      <c r="E23" s="352">
        <f>'Auto cross'!N50</f>
        <v>85.52838118507127</v>
      </c>
      <c r="F23" s="352">
        <f>'End - Fuel (overall)'!M23</f>
        <v>350</v>
      </c>
      <c r="G23" s="352">
        <f t="shared" si="0"/>
        <v>542.2878052643704</v>
      </c>
      <c r="H23">
        <v>543.6685338281305</v>
      </c>
      <c r="I23" s="231">
        <f t="shared" si="1"/>
        <v>3</v>
      </c>
    </row>
    <row r="24" spans="1:9" ht="15">
      <c r="A24" s="325">
        <v>44</v>
      </c>
      <c r="B24" s="326" t="s">
        <v>117</v>
      </c>
      <c r="C24" s="352">
        <f>'Skid pad'!U24</f>
      </c>
      <c r="D24" s="352">
        <f>'Accel.'!Q24</f>
      </c>
      <c r="E24" s="352">
        <f>'Auto cross'!N51</f>
      </c>
      <c r="F24" s="352">
        <f>'End - Fuel (overall)'!M24</f>
        <v>0</v>
      </c>
      <c r="G24" s="352">
        <f t="shared" si="0"/>
        <v>0</v>
      </c>
      <c r="H24">
        <v>0</v>
      </c>
      <c r="I24" s="231">
        <f t="shared" si="1"/>
        <v>19</v>
      </c>
    </row>
    <row r="25" spans="1:9" ht="15">
      <c r="A25" s="325">
        <v>45</v>
      </c>
      <c r="B25" s="326" t="s">
        <v>118</v>
      </c>
      <c r="C25" s="352">
        <f>'Skid pad'!U25</f>
        <v>27.187912836059418</v>
      </c>
      <c r="D25" s="352">
        <f>'Accel.'!Q25</f>
        <v>47.45135235515837</v>
      </c>
      <c r="E25" s="352">
        <f>'Auto cross'!N52</f>
        <v>146.86193193268855</v>
      </c>
      <c r="F25" s="352">
        <f>'End - Fuel (overall)'!M25</f>
        <v>197.2176733709743</v>
      </c>
      <c r="G25" s="352">
        <f t="shared" si="0"/>
        <v>418.71887049488066</v>
      </c>
      <c r="H25">
        <v>472.2302451749669</v>
      </c>
      <c r="I25" s="231">
        <f t="shared" si="1"/>
        <v>9</v>
      </c>
    </row>
    <row r="26" spans="1:9" ht="15">
      <c r="A26" s="325">
        <v>63</v>
      </c>
      <c r="B26" s="326" t="s">
        <v>119</v>
      </c>
      <c r="C26" s="352">
        <f>'Skid pad'!U26</f>
        <v>27.42635399182745</v>
      </c>
      <c r="D26" s="352">
        <f>'Accel.'!Q26</f>
        <v>57.74253977219244</v>
      </c>
      <c r="E26" s="352">
        <f>'Auto cross'!N53</f>
        <v>97.16854145354885</v>
      </c>
      <c r="F26" s="352">
        <f>'End - Fuel (overall)'!M26</f>
        <v>335.15093478593866</v>
      </c>
      <c r="G26" s="352">
        <f t="shared" si="0"/>
        <v>517.4883700035074</v>
      </c>
      <c r="H26">
        <v>461.6644478596592</v>
      </c>
      <c r="I26" s="231">
        <f t="shared" si="1"/>
        <v>5</v>
      </c>
    </row>
    <row r="27" spans="1:9" ht="15.75" thickBot="1">
      <c r="A27" s="327">
        <v>66</v>
      </c>
      <c r="B27" s="328" t="s">
        <v>46</v>
      </c>
      <c r="C27" s="354">
        <f>'Skid pad'!U27</f>
        <v>32.83877365516417</v>
      </c>
      <c r="D27" s="354">
        <f>'Accel.'!Q27</f>
        <v>50.58013705469052</v>
      </c>
      <c r="E27" s="354">
        <f>'Auto cross'!N54</f>
        <v>150</v>
      </c>
      <c r="F27" s="354">
        <f>'End - Fuel (overall)'!M27</f>
        <v>0</v>
      </c>
      <c r="G27" s="354">
        <f t="shared" si="0"/>
        <v>233.41891070985469</v>
      </c>
      <c r="H27">
        <v>243.3396666487461</v>
      </c>
      <c r="I27" s="233">
        <f t="shared" si="1"/>
        <v>12</v>
      </c>
    </row>
    <row r="28" spans="1:2" ht="15">
      <c r="A28" s="74"/>
      <c r="B28" s="75"/>
    </row>
  </sheetData>
  <conditionalFormatting sqref="I7:I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workbookViewId="0" topLeftCell="B1">
      <selection activeCell="G18" sqref="G18"/>
    </sheetView>
  </sheetViews>
  <sheetFormatPr defaultColWidth="9.140625" defaultRowHeight="12.75"/>
  <cols>
    <col min="1" max="1" width="0" style="0" hidden="1" customWidth="1"/>
    <col min="3" max="3" width="41.57421875" style="0" bestFit="1" customWidth="1"/>
    <col min="4" max="4" width="11.00390625" style="0" bestFit="1" customWidth="1"/>
    <col min="5" max="5" width="10.57421875" style="0" bestFit="1" customWidth="1"/>
    <col min="6" max="6" width="10.57421875" style="0" customWidth="1"/>
    <col min="11" max="11" width="10.140625" style="0" customWidth="1"/>
    <col min="13" max="13" width="26.7109375" style="0" bestFit="1" customWidth="1"/>
    <col min="16" max="16" width="33.57421875" style="0" bestFit="1" customWidth="1"/>
    <col min="18" max="18" width="35.00390625" style="0" bestFit="1" customWidth="1"/>
  </cols>
  <sheetData>
    <row r="1" spans="2:12" ht="45">
      <c r="B1" s="97" t="s">
        <v>122</v>
      </c>
      <c r="C1" s="84"/>
      <c r="D1" s="84"/>
      <c r="E1" s="84"/>
      <c r="F1" s="84"/>
      <c r="G1" s="84"/>
      <c r="H1" s="84"/>
      <c r="I1" s="84"/>
      <c r="J1" s="84"/>
      <c r="K1" s="149"/>
      <c r="L1" s="84"/>
    </row>
    <row r="2" ht="13.5" thickBot="1"/>
    <row r="3" spans="2:10" ht="12.75">
      <c r="B3" s="1"/>
      <c r="C3" s="2"/>
      <c r="D3" s="3"/>
      <c r="E3" s="3"/>
      <c r="F3" s="2"/>
      <c r="G3" s="2"/>
      <c r="H3" s="4"/>
      <c r="I3" s="5"/>
      <c r="J3" s="7" t="s">
        <v>0</v>
      </c>
    </row>
    <row r="4" spans="2:10" ht="15.75">
      <c r="B4" s="8" t="s">
        <v>6</v>
      </c>
      <c r="C4" s="9" t="s">
        <v>93</v>
      </c>
      <c r="D4" s="8" t="s">
        <v>52</v>
      </c>
      <c r="E4" s="10"/>
      <c r="F4" s="71" t="s">
        <v>54</v>
      </c>
      <c r="G4" s="11"/>
      <c r="H4" s="12"/>
      <c r="I4" s="13" t="s">
        <v>44</v>
      </c>
      <c r="J4" s="13" t="s">
        <v>3</v>
      </c>
    </row>
    <row r="5" spans="2:13" ht="16.5" thickBot="1">
      <c r="B5" s="8" t="s">
        <v>7</v>
      </c>
      <c r="C5" s="85"/>
      <c r="D5" s="8" t="s">
        <v>53</v>
      </c>
      <c r="E5" s="14"/>
      <c r="F5" s="15"/>
      <c r="G5" s="15"/>
      <c r="H5" s="16"/>
      <c r="I5" s="13" t="s">
        <v>4</v>
      </c>
      <c r="J5" s="13" t="s">
        <v>5</v>
      </c>
      <c r="M5" t="s">
        <v>191</v>
      </c>
    </row>
    <row r="6" spans="2:17" ht="15.75" thickBot="1">
      <c r="B6" s="17"/>
      <c r="C6" s="18"/>
      <c r="D6" s="22" t="s">
        <v>139</v>
      </c>
      <c r="E6" s="72" t="s">
        <v>79</v>
      </c>
      <c r="F6" s="72" t="s">
        <v>80</v>
      </c>
      <c r="G6" s="73" t="s">
        <v>81</v>
      </c>
      <c r="H6" s="73" t="s">
        <v>51</v>
      </c>
      <c r="I6" s="38" t="s">
        <v>82</v>
      </c>
      <c r="J6" s="38" t="s">
        <v>131</v>
      </c>
      <c r="K6" s="85"/>
      <c r="L6" s="85"/>
      <c r="M6" s="85"/>
      <c r="N6" s="85"/>
      <c r="O6" s="85"/>
      <c r="P6" s="85"/>
      <c r="Q6" s="85"/>
    </row>
    <row r="7" spans="2:17" ht="15">
      <c r="B7" s="169">
        <f>'Team list - 2003'!A5</f>
        <v>1</v>
      </c>
      <c r="C7" s="170" t="str">
        <f>'Team list - 2003'!B5</f>
        <v>University of Wollongong</v>
      </c>
      <c r="D7" s="188">
        <v>16468.88</v>
      </c>
      <c r="E7" s="189">
        <f>30*($D$29-D7)/($D$29-$D$32)</f>
        <v>18.17452066467831</v>
      </c>
      <c r="F7" s="190">
        <v>27</v>
      </c>
      <c r="G7" s="190">
        <v>17</v>
      </c>
      <c r="H7" s="190">
        <v>20</v>
      </c>
      <c r="I7" s="189">
        <f aca="true" t="shared" si="0" ref="I7:I27">E7+F7+G7+H7</f>
        <v>82.17452066467831</v>
      </c>
      <c r="J7" s="231">
        <f>IF(I7="","",RANK(I7,$I$7:$I$27))</f>
        <v>3</v>
      </c>
      <c r="K7" s="118"/>
      <c r="L7" s="85"/>
      <c r="M7" s="85"/>
      <c r="N7" s="85"/>
      <c r="O7" s="85"/>
      <c r="P7" s="85"/>
      <c r="Q7" s="85"/>
    </row>
    <row r="8" spans="2:17" ht="15">
      <c r="B8" s="173">
        <f>'Team list - 2003'!A6</f>
        <v>2</v>
      </c>
      <c r="C8" s="174" t="str">
        <f>'Team list - 2003'!B6</f>
        <v>University of Western Australia</v>
      </c>
      <c r="D8" s="192">
        <v>22155.87</v>
      </c>
      <c r="E8" s="193">
        <f aca="true" t="shared" si="1" ref="E8:E27">30*($D$29-D8)/($D$29-$D$32)</f>
        <v>6.059075415423947</v>
      </c>
      <c r="F8" s="194">
        <v>24</v>
      </c>
      <c r="G8" s="194">
        <v>18</v>
      </c>
      <c r="H8" s="194">
        <v>18</v>
      </c>
      <c r="I8" s="193">
        <f t="shared" si="0"/>
        <v>66.05907541542395</v>
      </c>
      <c r="J8" s="231">
        <f aca="true" t="shared" si="2" ref="J8:J27">IF(I8="","",RANK(I8,$I$7:$I$27))</f>
        <v>12</v>
      </c>
      <c r="K8" s="118"/>
      <c r="L8" s="85"/>
      <c r="M8" s="85"/>
      <c r="N8" s="85"/>
      <c r="O8" s="85"/>
      <c r="P8" s="85"/>
      <c r="Q8" s="85"/>
    </row>
    <row r="9" spans="2:17" ht="15">
      <c r="B9" s="173">
        <f>'Team list - 2003'!A7</f>
        <v>3</v>
      </c>
      <c r="C9" s="174" t="str">
        <f>'Team list - 2003'!B7</f>
        <v>University of Sydney</v>
      </c>
      <c r="D9" s="192">
        <v>16339.38</v>
      </c>
      <c r="E9" s="193">
        <f t="shared" si="1"/>
        <v>18.450404772049428</v>
      </c>
      <c r="F9" s="194">
        <v>22</v>
      </c>
      <c r="G9" s="194">
        <v>10</v>
      </c>
      <c r="H9" s="194">
        <v>4</v>
      </c>
      <c r="I9" s="193">
        <f t="shared" si="0"/>
        <v>54.450404772049424</v>
      </c>
      <c r="J9" s="231">
        <f t="shared" si="2"/>
        <v>19</v>
      </c>
      <c r="K9" s="118"/>
      <c r="L9" s="85"/>
      <c r="M9" s="85"/>
      <c r="N9" s="85"/>
      <c r="O9" s="85"/>
      <c r="P9" s="85"/>
      <c r="Q9" s="85"/>
    </row>
    <row r="10" spans="2:17" ht="15">
      <c r="B10" s="173">
        <f>'Team list - 2003'!A8</f>
        <v>4</v>
      </c>
      <c r="C10" s="174" t="str">
        <f>'Team list - 2003'!B8</f>
        <v>Swinburne University of Technology</v>
      </c>
      <c r="D10" s="192">
        <v>17879.57</v>
      </c>
      <c r="E10" s="193">
        <f t="shared" si="1"/>
        <v>15.169216020451643</v>
      </c>
      <c r="F10" s="194">
        <v>27</v>
      </c>
      <c r="G10" s="194">
        <v>17</v>
      </c>
      <c r="H10" s="194">
        <v>17</v>
      </c>
      <c r="I10" s="193">
        <f t="shared" si="0"/>
        <v>76.16921602045164</v>
      </c>
      <c r="J10" s="231">
        <f t="shared" si="2"/>
        <v>7</v>
      </c>
      <c r="K10" s="118"/>
      <c r="L10" s="85"/>
      <c r="M10" s="85"/>
      <c r="N10" s="85"/>
      <c r="O10" s="85"/>
      <c r="P10" s="85"/>
      <c r="Q10" s="85"/>
    </row>
    <row r="11" spans="2:17" ht="15">
      <c r="B11" s="173">
        <f>'Team list - 2003'!A9</f>
        <v>5</v>
      </c>
      <c r="C11" s="174" t="str">
        <f>'Team list - 2003'!B9</f>
        <v>Rochester Institute of Technology, USA</v>
      </c>
      <c r="D11" s="192">
        <v>10918.16</v>
      </c>
      <c r="E11" s="193">
        <f t="shared" si="1"/>
        <v>29.999659139326802</v>
      </c>
      <c r="F11" s="194">
        <v>27</v>
      </c>
      <c r="G11" s="194">
        <v>18</v>
      </c>
      <c r="H11" s="194">
        <v>11</v>
      </c>
      <c r="I11" s="193">
        <f t="shared" si="0"/>
        <v>85.99965913932681</v>
      </c>
      <c r="J11" s="231">
        <f t="shared" si="2"/>
        <v>2</v>
      </c>
      <c r="K11" s="118"/>
      <c r="L11" s="85"/>
      <c r="M11" s="85"/>
      <c r="N11" s="85"/>
      <c r="O11" s="85"/>
      <c r="P11" s="85"/>
      <c r="Q11" s="85"/>
    </row>
    <row r="12" spans="2:17" s="156" customFormat="1" ht="30">
      <c r="B12" s="173">
        <f>'Team list - 2003'!A10</f>
        <v>6</v>
      </c>
      <c r="C12" s="174" t="str">
        <f>'Team list - 2003'!B10</f>
        <v>Australian National University &amp; Canberra Institute of Technology</v>
      </c>
      <c r="D12" s="290">
        <v>20136.45</v>
      </c>
      <c r="E12" s="196">
        <f t="shared" si="1"/>
        <v>10.361205794631442</v>
      </c>
      <c r="F12" s="197">
        <v>23</v>
      </c>
      <c r="G12" s="197">
        <v>16</v>
      </c>
      <c r="H12" s="197">
        <v>7</v>
      </c>
      <c r="I12" s="196">
        <f t="shared" si="0"/>
        <v>56.361205794631445</v>
      </c>
      <c r="J12" s="231">
        <f t="shared" si="2"/>
        <v>17</v>
      </c>
      <c r="K12" s="164"/>
      <c r="L12" s="163"/>
      <c r="M12" s="163"/>
      <c r="N12" s="163"/>
      <c r="O12" s="163"/>
      <c r="P12" s="163"/>
      <c r="Q12" s="163"/>
    </row>
    <row r="13" spans="2:17" ht="15">
      <c r="B13" s="173">
        <f>'Team list - 2003'!A11</f>
        <v>8</v>
      </c>
      <c r="C13" s="174" t="str">
        <f>'Team list - 2003'!B11</f>
        <v>University of Technology, Sydney</v>
      </c>
      <c r="D13" s="192">
        <v>21783.08</v>
      </c>
      <c r="E13" s="193">
        <f t="shared" si="1"/>
        <v>6.85325948018747</v>
      </c>
      <c r="F13" s="194">
        <v>16</v>
      </c>
      <c r="G13" s="194">
        <v>18</v>
      </c>
      <c r="H13" s="194">
        <v>10</v>
      </c>
      <c r="I13" s="193">
        <f t="shared" si="0"/>
        <v>50.85325948018747</v>
      </c>
      <c r="J13" s="231">
        <f t="shared" si="2"/>
        <v>20</v>
      </c>
      <c r="K13" s="118"/>
      <c r="L13" s="85"/>
      <c r="M13" s="85"/>
      <c r="N13" s="85"/>
      <c r="O13" s="85"/>
      <c r="P13" s="85"/>
      <c r="Q13" s="85"/>
    </row>
    <row r="14" spans="2:17" ht="15">
      <c r="B14" s="173">
        <f>'Team list - 2003'!A12</f>
        <v>9</v>
      </c>
      <c r="C14" s="174" t="str">
        <f>'Team list - 2003'!B12</f>
        <v>The University of Adelaide</v>
      </c>
      <c r="D14" s="192">
        <v>18692.41</v>
      </c>
      <c r="E14" s="193">
        <f t="shared" si="1"/>
        <v>13.437558585428206</v>
      </c>
      <c r="F14" s="194">
        <v>24</v>
      </c>
      <c r="G14" s="194">
        <v>16</v>
      </c>
      <c r="H14" s="194">
        <v>11</v>
      </c>
      <c r="I14" s="193">
        <f t="shared" si="0"/>
        <v>64.4375585854282</v>
      </c>
      <c r="J14" s="231">
        <f t="shared" si="2"/>
        <v>13</v>
      </c>
      <c r="K14" s="118"/>
      <c r="L14" s="85"/>
      <c r="M14" s="85"/>
      <c r="N14" s="85"/>
      <c r="O14" s="85"/>
      <c r="P14" s="85"/>
      <c r="Q14" s="85"/>
    </row>
    <row r="15" spans="2:17" ht="15">
      <c r="B15" s="173">
        <f>'Team list - 2003'!A13</f>
        <v>11</v>
      </c>
      <c r="C15" s="174" t="str">
        <f>'Team list - 2003'!B13</f>
        <v>Auburn University, USA</v>
      </c>
      <c r="D15" s="192">
        <v>21829.02</v>
      </c>
      <c r="E15" s="193">
        <f t="shared" si="1"/>
        <v>6.755389859394972</v>
      </c>
      <c r="F15" s="194">
        <v>28</v>
      </c>
      <c r="G15" s="194">
        <v>18</v>
      </c>
      <c r="H15" s="194">
        <v>10</v>
      </c>
      <c r="I15" s="193">
        <f t="shared" si="0"/>
        <v>62.755389859394974</v>
      </c>
      <c r="J15" s="231">
        <f t="shared" si="2"/>
        <v>14</v>
      </c>
      <c r="K15" s="118"/>
      <c r="L15" s="85"/>
      <c r="M15" s="85"/>
      <c r="N15" s="85"/>
      <c r="O15" s="85"/>
      <c r="P15" s="85"/>
      <c r="Q15" s="85"/>
    </row>
    <row r="16" spans="2:17" ht="15">
      <c r="B16" s="173">
        <f>'Team list - 2003'!A14</f>
        <v>14</v>
      </c>
      <c r="C16" s="174" t="str">
        <f>'Team list - 2003'!B14</f>
        <v>Curtin University of Technology</v>
      </c>
      <c r="D16" s="192">
        <v>19538.71</v>
      </c>
      <c r="E16" s="193">
        <f t="shared" si="1"/>
        <v>11.63461866212186</v>
      </c>
      <c r="F16" s="194">
        <v>22</v>
      </c>
      <c r="G16" s="194">
        <v>15</v>
      </c>
      <c r="H16" s="194">
        <v>10</v>
      </c>
      <c r="I16" s="193">
        <f t="shared" si="0"/>
        <v>58.63461866212186</v>
      </c>
      <c r="J16" s="231">
        <f t="shared" si="2"/>
        <v>16</v>
      </c>
      <c r="K16" s="118"/>
      <c r="L16" s="85"/>
      <c r="M16" s="85"/>
      <c r="N16" s="85"/>
      <c r="O16" s="85"/>
      <c r="P16" s="85"/>
      <c r="Q16" s="85"/>
    </row>
    <row r="17" spans="2:17" ht="15">
      <c r="B17" s="173">
        <f>'Team list - 2003'!A15</f>
        <v>18</v>
      </c>
      <c r="C17" s="174" t="str">
        <f>'Team list - 2003'!B15</f>
        <v>University of Melbourne</v>
      </c>
      <c r="D17" s="192">
        <v>23297.29</v>
      </c>
      <c r="E17" s="193">
        <f t="shared" si="1"/>
        <v>3.6274179804005096</v>
      </c>
      <c r="F17" s="194">
        <v>29</v>
      </c>
      <c r="G17" s="194">
        <v>18</v>
      </c>
      <c r="H17" s="194">
        <v>17</v>
      </c>
      <c r="I17" s="193">
        <f t="shared" si="0"/>
        <v>67.62741798040051</v>
      </c>
      <c r="J17" s="231">
        <f t="shared" si="2"/>
        <v>10</v>
      </c>
      <c r="K17" s="118"/>
      <c r="L17" s="85"/>
      <c r="M17" s="85"/>
      <c r="N17" s="85"/>
      <c r="O17" s="85"/>
      <c r="P17" s="85"/>
      <c r="Q17" s="85"/>
    </row>
    <row r="18" spans="2:17" ht="15">
      <c r="B18" s="173">
        <f>'Team list - 2003'!A16</f>
        <v>19</v>
      </c>
      <c r="C18" s="174" t="str">
        <f>'Team list - 2003'!B16</f>
        <v>University of Braunschweig, GERMANY</v>
      </c>
      <c r="D18" s="192">
        <v>11314.41</v>
      </c>
      <c r="E18" s="193">
        <f t="shared" si="1"/>
        <v>29.15549637835535</v>
      </c>
      <c r="F18" s="194">
        <v>27</v>
      </c>
      <c r="G18" s="194">
        <v>15</v>
      </c>
      <c r="H18" s="194">
        <v>15</v>
      </c>
      <c r="I18" s="193">
        <f t="shared" si="0"/>
        <v>86.15549637835535</v>
      </c>
      <c r="J18" s="231">
        <f t="shared" si="2"/>
        <v>1</v>
      </c>
      <c r="K18" s="118"/>
      <c r="L18" s="85"/>
      <c r="M18" s="85"/>
      <c r="N18" s="85"/>
      <c r="O18" s="85"/>
      <c r="P18" s="85"/>
      <c r="Q18" s="85"/>
    </row>
    <row r="19" spans="2:17" ht="15">
      <c r="B19" s="173">
        <f>'Team list - 2003'!A17</f>
        <v>21</v>
      </c>
      <c r="C19" s="174" t="str">
        <f>'Team list - 2003'!B17</f>
        <v>Tokyo Denki University, JAPAN </v>
      </c>
      <c r="D19" s="192">
        <v>12463.97</v>
      </c>
      <c r="E19" s="193">
        <f t="shared" si="1"/>
        <v>26.706497656582872</v>
      </c>
      <c r="F19" s="194">
        <v>24</v>
      </c>
      <c r="G19" s="194">
        <v>15</v>
      </c>
      <c r="H19" s="194">
        <v>14</v>
      </c>
      <c r="I19" s="193">
        <f t="shared" si="0"/>
        <v>79.70649765658287</v>
      </c>
      <c r="J19" s="231">
        <f t="shared" si="2"/>
        <v>5</v>
      </c>
      <c r="K19" s="118"/>
      <c r="L19" s="85"/>
      <c r="M19" s="85"/>
      <c r="N19" s="85"/>
      <c r="O19" s="85"/>
      <c r="P19" s="85"/>
      <c r="Q19" s="85"/>
    </row>
    <row r="20" spans="2:17" ht="15">
      <c r="B20" s="173">
        <f>'Team list - 2003'!A18</f>
        <v>23</v>
      </c>
      <c r="C20" s="174" t="str">
        <f>'Team list - 2003'!B18</f>
        <v>Deakin University</v>
      </c>
      <c r="D20" s="192">
        <v>22129.86</v>
      </c>
      <c r="E20" s="193">
        <f t="shared" si="1"/>
        <v>6.114486578610991</v>
      </c>
      <c r="F20" s="194">
        <v>20</v>
      </c>
      <c r="G20" s="194">
        <v>15</v>
      </c>
      <c r="H20" s="194">
        <v>15</v>
      </c>
      <c r="I20" s="193">
        <f t="shared" si="0"/>
        <v>56.11448657861099</v>
      </c>
      <c r="J20" s="231">
        <f t="shared" si="2"/>
        <v>18</v>
      </c>
      <c r="K20" s="118"/>
      <c r="L20" s="85"/>
      <c r="M20" s="85"/>
      <c r="N20" s="85"/>
      <c r="O20" s="85"/>
      <c r="P20" s="85"/>
      <c r="Q20" s="85"/>
    </row>
    <row r="21" spans="2:17" ht="15">
      <c r="B21" s="173">
        <f>'Team list - 2003'!A19</f>
        <v>31</v>
      </c>
      <c r="C21" s="174" t="str">
        <f>'Team list - 2003'!B19</f>
        <v>Georgia Institute of Technology, USA</v>
      </c>
      <c r="D21" s="192">
        <v>11823.46</v>
      </c>
      <c r="E21" s="193">
        <f t="shared" si="1"/>
        <v>28.071026842778014</v>
      </c>
      <c r="F21" s="194">
        <v>27</v>
      </c>
      <c r="G21" s="194">
        <v>18</v>
      </c>
      <c r="H21" s="194">
        <v>8</v>
      </c>
      <c r="I21" s="193">
        <f t="shared" si="0"/>
        <v>81.07102684277801</v>
      </c>
      <c r="J21" s="231">
        <f t="shared" si="2"/>
        <v>4</v>
      </c>
      <c r="K21" s="118"/>
      <c r="L21" s="85"/>
      <c r="M21" s="85"/>
      <c r="N21" s="85"/>
      <c r="O21" s="85"/>
      <c r="P21" s="85"/>
      <c r="Q21" s="85"/>
    </row>
    <row r="22" spans="2:17" ht="15">
      <c r="B22" s="173">
        <f>'Team list - 2003'!A20</f>
        <v>35</v>
      </c>
      <c r="C22" s="174" t="str">
        <f>'Team list - 2003'!B20</f>
        <v>Chalmers University, SWEDEN </v>
      </c>
      <c r="D22" s="192">
        <v>14774.2</v>
      </c>
      <c r="E22" s="193">
        <f t="shared" si="1"/>
        <v>21.78483170004261</v>
      </c>
      <c r="F22" s="194">
        <v>24</v>
      </c>
      <c r="G22" s="194">
        <v>16</v>
      </c>
      <c r="H22" s="194">
        <v>15</v>
      </c>
      <c r="I22" s="193">
        <f t="shared" si="0"/>
        <v>76.78483170004262</v>
      </c>
      <c r="J22" s="231">
        <f t="shared" si="2"/>
        <v>6</v>
      </c>
      <c r="K22" s="118"/>
      <c r="L22" s="85"/>
      <c r="M22" s="85"/>
      <c r="N22" s="85"/>
      <c r="O22" s="85"/>
      <c r="P22" s="85"/>
      <c r="Q22" s="85"/>
    </row>
    <row r="23" spans="2:17" ht="15">
      <c r="B23" s="173">
        <f>'Team list - 2003'!A21</f>
        <v>41</v>
      </c>
      <c r="C23" s="174" t="str">
        <f>'Team list - 2003'!B21</f>
        <v>University of Queensland</v>
      </c>
      <c r="D23" s="192">
        <v>19697.58</v>
      </c>
      <c r="E23" s="193">
        <f t="shared" si="1"/>
        <v>11.296165317426498</v>
      </c>
      <c r="F23" s="194">
        <v>28</v>
      </c>
      <c r="G23" s="194">
        <v>16</v>
      </c>
      <c r="H23" s="194">
        <v>19</v>
      </c>
      <c r="I23" s="193">
        <f t="shared" si="0"/>
        <v>74.2961653174265</v>
      </c>
      <c r="J23" s="231">
        <f t="shared" si="2"/>
        <v>8</v>
      </c>
      <c r="K23" s="118"/>
      <c r="L23" s="85"/>
      <c r="M23" s="85"/>
      <c r="N23" s="85"/>
      <c r="O23" s="85"/>
      <c r="P23" s="85"/>
      <c r="Q23" s="85"/>
    </row>
    <row r="24" spans="2:17" ht="15">
      <c r="B24" s="173">
        <f>'Team list - 2003'!A22</f>
        <v>44</v>
      </c>
      <c r="C24" s="174" t="str">
        <f>'Team list - 2003'!B22</f>
        <v>University of Newcastle</v>
      </c>
      <c r="D24" s="192">
        <v>0</v>
      </c>
      <c r="E24" s="193">
        <v>0</v>
      </c>
      <c r="F24" s="194">
        <v>0</v>
      </c>
      <c r="G24" s="194">
        <v>4</v>
      </c>
      <c r="H24" s="194">
        <v>6</v>
      </c>
      <c r="I24" s="193">
        <f t="shared" si="0"/>
        <v>10</v>
      </c>
      <c r="J24" s="231">
        <f t="shared" si="2"/>
        <v>21</v>
      </c>
      <c r="K24" s="118"/>
      <c r="L24" s="85"/>
      <c r="M24" s="85"/>
      <c r="N24" s="85"/>
      <c r="O24" s="85"/>
      <c r="P24" s="85"/>
      <c r="Q24" s="85"/>
    </row>
    <row r="25" spans="2:17" ht="15">
      <c r="B25" s="173">
        <f>'Team list - 2003'!A23</f>
        <v>45</v>
      </c>
      <c r="C25" s="174" t="str">
        <f>'Team list - 2003'!B23</f>
        <v>RMIT University</v>
      </c>
      <c r="D25" s="192">
        <v>20897.11</v>
      </c>
      <c r="E25" s="193">
        <f t="shared" si="1"/>
        <v>8.740711546655303</v>
      </c>
      <c r="F25" s="194">
        <v>26</v>
      </c>
      <c r="G25" s="194">
        <v>18</v>
      </c>
      <c r="H25" s="194">
        <v>9</v>
      </c>
      <c r="I25" s="193">
        <f t="shared" si="0"/>
        <v>61.740711546655305</v>
      </c>
      <c r="J25" s="231">
        <f t="shared" si="2"/>
        <v>15</v>
      </c>
      <c r="K25" s="118"/>
      <c r="L25" s="85"/>
      <c r="M25" s="85"/>
      <c r="N25" s="85"/>
      <c r="O25" s="85"/>
      <c r="P25" s="85"/>
      <c r="Q25" s="85"/>
    </row>
    <row r="26" spans="2:17" ht="15">
      <c r="B26" s="173">
        <f>'Team list - 2003'!A24</f>
        <v>63</v>
      </c>
      <c r="C26" s="174" t="str">
        <f>'Team list - 2003'!B24</f>
        <v>University of NSW</v>
      </c>
      <c r="D26" s="192">
        <v>19703.68</v>
      </c>
      <c r="E26" s="193">
        <f t="shared" si="1"/>
        <v>11.283170004260757</v>
      </c>
      <c r="F26" s="194">
        <v>25</v>
      </c>
      <c r="G26" s="194">
        <v>15</v>
      </c>
      <c r="H26" s="194">
        <v>15</v>
      </c>
      <c r="I26" s="193">
        <f t="shared" si="0"/>
        <v>66.28317000426075</v>
      </c>
      <c r="J26" s="231">
        <f t="shared" si="2"/>
        <v>11</v>
      </c>
      <c r="K26" s="118"/>
      <c r="L26" s="85"/>
      <c r="M26" s="85"/>
      <c r="N26" s="85"/>
      <c r="O26" s="85"/>
      <c r="P26" s="85"/>
      <c r="Q26" s="85"/>
    </row>
    <row r="27" spans="2:17" ht="15.75" thickBot="1">
      <c r="B27" s="179">
        <f>'Team list - 2003'!A25</f>
        <v>66</v>
      </c>
      <c r="C27" s="180" t="str">
        <f>'Team list - 2003'!B25</f>
        <v>Monash University</v>
      </c>
      <c r="D27" s="199">
        <v>17940.44</v>
      </c>
      <c r="E27" s="200">
        <f t="shared" si="1"/>
        <v>15.039539838091184</v>
      </c>
      <c r="F27" s="201">
        <v>24</v>
      </c>
      <c r="G27" s="201">
        <v>17</v>
      </c>
      <c r="H27" s="201">
        <v>18</v>
      </c>
      <c r="I27" s="200">
        <f t="shared" si="0"/>
        <v>74.03953983809119</v>
      </c>
      <c r="J27" s="231">
        <f t="shared" si="2"/>
        <v>9</v>
      </c>
      <c r="K27" s="118"/>
      <c r="L27" s="85"/>
      <c r="M27" s="85"/>
      <c r="N27" s="85"/>
      <c r="O27" s="85"/>
      <c r="P27" s="85"/>
      <c r="Q27" s="85"/>
    </row>
    <row r="28" spans="2:12" ht="15.75" thickBot="1">
      <c r="B28" s="74"/>
      <c r="C28" s="75"/>
      <c r="D28" s="76"/>
      <c r="E28" s="77"/>
      <c r="F28" s="77"/>
      <c r="G28" s="77"/>
      <c r="H28" s="77"/>
      <c r="I28" s="77"/>
      <c r="J28" s="78"/>
      <c r="K28" s="118"/>
      <c r="L28" s="29"/>
    </row>
    <row r="29" spans="3:11" ht="13.5" thickBot="1">
      <c r="C29" s="39" t="s">
        <v>94</v>
      </c>
      <c r="D29" s="123">
        <v>25000</v>
      </c>
      <c r="K29" s="118"/>
    </row>
    <row r="30" spans="3:11" ht="12.75" hidden="1">
      <c r="C30" s="39" t="s">
        <v>95</v>
      </c>
      <c r="D30" s="124"/>
      <c r="K30" s="118"/>
    </row>
    <row r="31" spans="3:11" ht="13.5" hidden="1" thickBot="1">
      <c r="C31" s="39" t="s">
        <v>96</v>
      </c>
      <c r="D31" s="144"/>
      <c r="K31" s="118"/>
    </row>
    <row r="32" spans="3:11" ht="13.5" thickBot="1">
      <c r="C32" s="39" t="s">
        <v>97</v>
      </c>
      <c r="D32" s="145">
        <v>10918</v>
      </c>
      <c r="K32" s="118"/>
    </row>
    <row r="33" spans="2:11" ht="15.75">
      <c r="B33" s="9"/>
      <c r="C33" s="9"/>
      <c r="K33" s="118"/>
    </row>
    <row r="34" spans="2:11" ht="15.75">
      <c r="B34" s="9"/>
      <c r="C34" s="292" t="s">
        <v>142</v>
      </c>
      <c r="D34" s="291">
        <f>MIN(D7:D23,D25,D26,D27)</f>
        <v>10918.16</v>
      </c>
      <c r="K34" s="118"/>
    </row>
    <row r="35" spans="2:3" ht="15">
      <c r="B35" s="146"/>
      <c r="C35" s="146"/>
    </row>
    <row r="36" spans="2:3" ht="15">
      <c r="B36" s="99"/>
      <c r="C36" s="69"/>
    </row>
    <row r="37" spans="2:3" ht="15">
      <c r="B37" s="99"/>
      <c r="C37" s="69"/>
    </row>
    <row r="38" spans="2:3" ht="15">
      <c r="B38" s="99"/>
      <c r="C38" s="69"/>
    </row>
    <row r="39" spans="2:3" ht="15">
      <c r="B39" s="99"/>
      <c r="C39" s="69"/>
    </row>
    <row r="40" spans="2:3" ht="15">
      <c r="B40" s="99"/>
      <c r="C40" s="69"/>
    </row>
    <row r="41" spans="2:3" ht="15">
      <c r="B41" s="99"/>
      <c r="C41" s="69"/>
    </row>
    <row r="42" spans="2:3" ht="15">
      <c r="B42" s="99"/>
      <c r="C42" s="69"/>
    </row>
    <row r="43" spans="2:3" ht="15">
      <c r="B43" s="99"/>
      <c r="C43" s="69"/>
    </row>
    <row r="44" spans="2:3" ht="15">
      <c r="B44" s="99"/>
      <c r="C44" s="69"/>
    </row>
    <row r="45" spans="2:3" ht="15">
      <c r="B45" s="99"/>
      <c r="C45" s="69"/>
    </row>
    <row r="46" spans="2:3" ht="15">
      <c r="B46" s="99"/>
      <c r="C46" s="69"/>
    </row>
    <row r="47" spans="2:3" ht="15">
      <c r="B47" s="99"/>
      <c r="C47" s="69"/>
    </row>
    <row r="48" spans="2:3" ht="15">
      <c r="B48" s="99"/>
      <c r="C48" s="69"/>
    </row>
    <row r="49" spans="2:3" ht="15">
      <c r="B49" s="99"/>
      <c r="C49" s="69"/>
    </row>
    <row r="50" spans="2:3" ht="15">
      <c r="B50" s="99"/>
      <c r="C50" s="69"/>
    </row>
    <row r="51" spans="2:3" ht="15">
      <c r="B51" s="99"/>
      <c r="C51" s="69"/>
    </row>
    <row r="52" spans="2:3" ht="15">
      <c r="B52" s="99"/>
      <c r="C52" s="69"/>
    </row>
    <row r="53" spans="2:3" ht="15">
      <c r="B53" s="99"/>
      <c r="C53" s="69"/>
    </row>
    <row r="54" spans="2:3" ht="15">
      <c r="B54" s="99"/>
      <c r="C54" s="69"/>
    </row>
    <row r="55" spans="2:3" ht="12.75">
      <c r="B55" s="85"/>
      <c r="C55" s="85"/>
    </row>
  </sheetData>
  <conditionalFormatting sqref="J7:J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horizontalCentered="1" verticalCentered="1"/>
  <pageMargins left="0.35433070866141736" right="0.3149606299212598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workbookViewId="0" topLeftCell="B4">
      <selection activeCell="G18" sqref="G18"/>
    </sheetView>
  </sheetViews>
  <sheetFormatPr defaultColWidth="9.140625" defaultRowHeight="12.75"/>
  <cols>
    <col min="1" max="1" width="0" style="0" hidden="1" customWidth="1"/>
    <col min="2" max="2" width="11.28125" style="0" customWidth="1"/>
    <col min="3" max="3" width="42.140625" style="0" bestFit="1" customWidth="1"/>
    <col min="9" max="9" width="10.28125" style="0" bestFit="1" customWidth="1"/>
    <col min="13" max="13" width="26.7109375" style="0" bestFit="1" customWidth="1"/>
  </cols>
  <sheetData>
    <row r="1" spans="2:11" ht="45">
      <c r="B1" s="97" t="s">
        <v>123</v>
      </c>
      <c r="C1" s="84"/>
      <c r="D1" s="84"/>
      <c r="E1" s="84"/>
      <c r="F1" s="84"/>
      <c r="G1" s="84"/>
      <c r="H1" s="84"/>
      <c r="I1" s="84"/>
      <c r="J1" s="84"/>
      <c r="K1" s="84"/>
    </row>
    <row r="2" ht="21" thickBot="1">
      <c r="K2" s="149"/>
    </row>
    <row r="3" spans="2:12" ht="12.75">
      <c r="B3" s="1"/>
      <c r="C3" s="2"/>
      <c r="D3" s="3"/>
      <c r="E3" s="2"/>
      <c r="F3" s="2"/>
      <c r="G3" s="2"/>
      <c r="H3" s="2"/>
      <c r="I3" s="4"/>
      <c r="J3" s="5"/>
      <c r="K3" s="6" t="s">
        <v>0</v>
      </c>
      <c r="L3" s="7" t="s">
        <v>0</v>
      </c>
    </row>
    <row r="4" spans="2:12" ht="15.75">
      <c r="B4" s="8" t="s">
        <v>6</v>
      </c>
      <c r="C4" s="9" t="s">
        <v>93</v>
      </c>
      <c r="D4" s="378" t="s">
        <v>78</v>
      </c>
      <c r="E4" s="379"/>
      <c r="F4" s="379"/>
      <c r="G4" s="379"/>
      <c r="H4" s="379"/>
      <c r="I4" s="380"/>
      <c r="J4" s="13" t="s">
        <v>1</v>
      </c>
      <c r="K4" s="11" t="s">
        <v>2</v>
      </c>
      <c r="L4" s="13" t="s">
        <v>3</v>
      </c>
    </row>
    <row r="5" spans="2:13" ht="16.5" thickBot="1">
      <c r="B5" s="8" t="s">
        <v>7</v>
      </c>
      <c r="D5" s="88"/>
      <c r="E5" s="15"/>
      <c r="F5" s="15"/>
      <c r="G5" s="87"/>
      <c r="H5" s="15"/>
      <c r="I5" s="16"/>
      <c r="J5" s="13" t="s">
        <v>4</v>
      </c>
      <c r="K5" s="11" t="s">
        <v>3</v>
      </c>
      <c r="L5" s="13" t="s">
        <v>5</v>
      </c>
      <c r="M5" t="s">
        <v>191</v>
      </c>
    </row>
    <row r="6" spans="2:12" ht="15.75" thickBot="1">
      <c r="B6" s="17"/>
      <c r="C6" s="18"/>
      <c r="D6" s="86">
        <v>1</v>
      </c>
      <c r="E6" s="86">
        <v>2</v>
      </c>
      <c r="F6" s="86">
        <v>3</v>
      </c>
      <c r="G6" s="19">
        <v>4</v>
      </c>
      <c r="H6" s="19">
        <v>5</v>
      </c>
      <c r="I6" s="20">
        <v>6</v>
      </c>
      <c r="J6" s="22"/>
      <c r="K6" s="21" t="s">
        <v>4</v>
      </c>
      <c r="L6" s="38" t="s">
        <v>131</v>
      </c>
    </row>
    <row r="7" spans="2:12" ht="15">
      <c r="B7" s="169">
        <f>'Team list - 2003'!A5</f>
        <v>1</v>
      </c>
      <c r="C7" s="170" t="str">
        <f>'Team list - 2003'!B5</f>
        <v>University of Wollongong</v>
      </c>
      <c r="D7" s="203">
        <v>39.5</v>
      </c>
      <c r="E7" s="203">
        <v>44</v>
      </c>
      <c r="F7" s="203">
        <v>36</v>
      </c>
      <c r="G7" s="203">
        <v>35</v>
      </c>
      <c r="H7" s="203">
        <v>32.5</v>
      </c>
      <c r="I7" s="204">
        <v>31</v>
      </c>
      <c r="J7" s="205">
        <f>IF(D7="","",AVERAGE(D7:I7))</f>
        <v>36.333333333333336</v>
      </c>
      <c r="K7" s="206">
        <f>IF(J7="","",75*($J7/$J$30))</f>
        <v>60.110294117647065</v>
      </c>
      <c r="L7" s="234">
        <f>IF(K7="","",RANK(K7,$K$7:$K$27))</f>
        <v>9</v>
      </c>
    </row>
    <row r="8" spans="2:12" ht="15">
      <c r="B8" s="173">
        <f>'Team list - 2003'!A6</f>
        <v>2</v>
      </c>
      <c r="C8" s="207" t="str">
        <f>'Team list - 2003'!B6</f>
        <v>University of Western Australia</v>
      </c>
      <c r="D8" s="208">
        <v>25</v>
      </c>
      <c r="E8" s="208">
        <v>32</v>
      </c>
      <c r="F8" s="208">
        <v>29.5</v>
      </c>
      <c r="G8" s="208">
        <v>31.5</v>
      </c>
      <c r="H8" s="208">
        <v>34</v>
      </c>
      <c r="I8" s="209">
        <v>26</v>
      </c>
      <c r="J8" s="210">
        <f aca="true" t="shared" si="0" ref="J8:J27">IF(D8="","",AVERAGE(D8:I8))</f>
        <v>29.666666666666668</v>
      </c>
      <c r="K8" s="211">
        <f aca="true" t="shared" si="1" ref="K8:K27">IF(J8="","",75*($J8/$J$30))</f>
        <v>49.080882352941174</v>
      </c>
      <c r="L8" s="231">
        <f aca="true" t="shared" si="2" ref="L8:L27">IF(K8="","",RANK(K8,$K$7:$K$27))</f>
        <v>17</v>
      </c>
    </row>
    <row r="9" spans="2:12" ht="15">
      <c r="B9" s="173">
        <f>'Team list - 2003'!A7</f>
        <v>3</v>
      </c>
      <c r="C9" s="207" t="str">
        <f>'Team list - 2003'!B7</f>
        <v>University of Sydney</v>
      </c>
      <c r="D9" s="208">
        <v>29.5</v>
      </c>
      <c r="E9" s="208">
        <v>28</v>
      </c>
      <c r="F9" s="208">
        <v>19.5</v>
      </c>
      <c r="G9" s="208">
        <v>22</v>
      </c>
      <c r="H9" s="208">
        <v>23</v>
      </c>
      <c r="I9" s="209">
        <v>20</v>
      </c>
      <c r="J9" s="210">
        <f t="shared" si="0"/>
        <v>23.666666666666668</v>
      </c>
      <c r="K9" s="211">
        <f t="shared" si="1"/>
        <v>39.154411764705884</v>
      </c>
      <c r="L9" s="231">
        <f t="shared" si="2"/>
        <v>19</v>
      </c>
    </row>
    <row r="10" spans="2:12" ht="15">
      <c r="B10" s="173">
        <f>'Team list - 2003'!A8</f>
        <v>4</v>
      </c>
      <c r="C10" s="207" t="str">
        <f>'Team list - 2003'!B8</f>
        <v>Swinburne University of Technology</v>
      </c>
      <c r="D10" s="208">
        <v>43.5</v>
      </c>
      <c r="E10" s="208">
        <v>35</v>
      </c>
      <c r="F10" s="208">
        <v>44</v>
      </c>
      <c r="G10" s="208">
        <v>40</v>
      </c>
      <c r="H10" s="208">
        <v>39.5</v>
      </c>
      <c r="I10" s="209">
        <v>43.5</v>
      </c>
      <c r="J10" s="210">
        <f t="shared" si="0"/>
        <v>40.916666666666664</v>
      </c>
      <c r="K10" s="211">
        <f t="shared" si="1"/>
        <v>67.69301470588235</v>
      </c>
      <c r="L10" s="231">
        <f t="shared" si="2"/>
        <v>4</v>
      </c>
    </row>
    <row r="11" spans="2:12" ht="15">
      <c r="B11" s="173">
        <f>'Team list - 2003'!A9</f>
        <v>5</v>
      </c>
      <c r="C11" s="207" t="str">
        <f>'Team list - 2003'!B9</f>
        <v>Rochester Institute of Technology, USA</v>
      </c>
      <c r="D11" s="208">
        <v>43.5</v>
      </c>
      <c r="E11" s="208">
        <v>37</v>
      </c>
      <c r="F11" s="208">
        <v>39</v>
      </c>
      <c r="G11" s="208">
        <v>41</v>
      </c>
      <c r="H11" s="208">
        <v>40</v>
      </c>
      <c r="I11" s="209">
        <v>35</v>
      </c>
      <c r="J11" s="210">
        <f t="shared" si="0"/>
        <v>39.25</v>
      </c>
      <c r="K11" s="211">
        <f t="shared" si="1"/>
        <v>64.93566176470587</v>
      </c>
      <c r="L11" s="231">
        <f t="shared" si="2"/>
        <v>7</v>
      </c>
    </row>
    <row r="12" spans="2:12" s="156" customFormat="1" ht="30">
      <c r="B12" s="173">
        <f>'Team list - 2003'!A10</f>
        <v>6</v>
      </c>
      <c r="C12" s="207" t="str">
        <f>'Team list - 2003'!B10</f>
        <v>Australian National University &amp; Canberra Institute of Technology</v>
      </c>
      <c r="D12" s="212">
        <v>36</v>
      </c>
      <c r="E12" s="212">
        <v>37</v>
      </c>
      <c r="F12" s="212">
        <v>34</v>
      </c>
      <c r="G12" s="212">
        <v>36</v>
      </c>
      <c r="H12" s="212">
        <v>32</v>
      </c>
      <c r="I12" s="213">
        <v>33</v>
      </c>
      <c r="J12" s="214">
        <f t="shared" si="0"/>
        <v>34.666666666666664</v>
      </c>
      <c r="K12" s="289">
        <f t="shared" si="1"/>
        <v>57.35294117647059</v>
      </c>
      <c r="L12" s="231">
        <f t="shared" si="2"/>
        <v>11</v>
      </c>
    </row>
    <row r="13" spans="2:12" ht="15">
      <c r="B13" s="173">
        <f>'Team list - 2003'!A11</f>
        <v>8</v>
      </c>
      <c r="C13" s="207" t="str">
        <f>'Team list - 2003'!B11</f>
        <v>University of Technology, Sydney</v>
      </c>
      <c r="D13" s="215">
        <v>19</v>
      </c>
      <c r="E13" s="215">
        <v>11.5</v>
      </c>
      <c r="F13" s="215">
        <v>21</v>
      </c>
      <c r="G13" s="208">
        <v>15</v>
      </c>
      <c r="H13" s="208">
        <v>16</v>
      </c>
      <c r="I13" s="209">
        <v>15</v>
      </c>
      <c r="J13" s="210">
        <f t="shared" si="0"/>
        <v>16.25</v>
      </c>
      <c r="K13" s="211">
        <f t="shared" si="1"/>
        <v>26.884191176470587</v>
      </c>
      <c r="L13" s="231">
        <f t="shared" si="2"/>
        <v>20</v>
      </c>
    </row>
    <row r="14" spans="2:12" ht="15">
      <c r="B14" s="173">
        <f>'Team list - 2003'!A12</f>
        <v>9</v>
      </c>
      <c r="C14" s="207" t="str">
        <f>'Team list - 2003'!B12</f>
        <v>The University of Adelaide</v>
      </c>
      <c r="D14" s="215">
        <v>38.5</v>
      </c>
      <c r="E14" s="215">
        <v>34</v>
      </c>
      <c r="F14" s="215">
        <v>31</v>
      </c>
      <c r="G14" s="208">
        <v>30</v>
      </c>
      <c r="H14" s="208">
        <v>39</v>
      </c>
      <c r="I14" s="209">
        <v>38</v>
      </c>
      <c r="J14" s="210">
        <f t="shared" si="0"/>
        <v>35.083333333333336</v>
      </c>
      <c r="K14" s="211">
        <f t="shared" si="1"/>
        <v>58.04227941176471</v>
      </c>
      <c r="L14" s="231">
        <f t="shared" si="2"/>
        <v>10</v>
      </c>
    </row>
    <row r="15" spans="2:12" ht="15">
      <c r="B15" s="173">
        <f>'Team list - 2003'!A13</f>
        <v>11</v>
      </c>
      <c r="C15" s="207" t="str">
        <f>'Team list - 2003'!B13</f>
        <v>Auburn University, USA</v>
      </c>
      <c r="D15" s="215">
        <v>43.5</v>
      </c>
      <c r="E15" s="215">
        <v>39.5</v>
      </c>
      <c r="F15" s="215">
        <v>38</v>
      </c>
      <c r="G15" s="208">
        <v>38</v>
      </c>
      <c r="H15" s="208">
        <v>43</v>
      </c>
      <c r="I15" s="209">
        <v>34</v>
      </c>
      <c r="J15" s="210">
        <f t="shared" si="0"/>
        <v>39.333333333333336</v>
      </c>
      <c r="K15" s="211">
        <f t="shared" si="1"/>
        <v>65.07352941176471</v>
      </c>
      <c r="L15" s="231">
        <f t="shared" si="2"/>
        <v>6</v>
      </c>
    </row>
    <row r="16" spans="2:12" ht="15">
      <c r="B16" s="173">
        <f>'Team list - 2003'!A14</f>
        <v>14</v>
      </c>
      <c r="C16" s="207" t="str">
        <f>'Team list - 2003'!B14</f>
        <v>Curtin University of Technology</v>
      </c>
      <c r="D16" s="215">
        <v>14</v>
      </c>
      <c r="E16" s="215">
        <v>5</v>
      </c>
      <c r="F16" s="215">
        <v>9</v>
      </c>
      <c r="G16" s="208">
        <v>14</v>
      </c>
      <c r="H16" s="208">
        <v>8</v>
      </c>
      <c r="I16" s="209">
        <v>10</v>
      </c>
      <c r="J16" s="210">
        <f t="shared" si="0"/>
        <v>10</v>
      </c>
      <c r="K16" s="211">
        <f t="shared" si="1"/>
        <v>16.544117647058822</v>
      </c>
      <c r="L16" s="231">
        <f t="shared" si="2"/>
        <v>21</v>
      </c>
    </row>
    <row r="17" spans="2:12" ht="15">
      <c r="B17" s="173">
        <f>'Team list - 2003'!A15</f>
        <v>18</v>
      </c>
      <c r="C17" s="207" t="str">
        <f>'Team list - 2003'!B15</f>
        <v>University of Melbourne</v>
      </c>
      <c r="D17" s="215">
        <v>28.5</v>
      </c>
      <c r="E17" s="215">
        <v>31</v>
      </c>
      <c r="F17" s="215">
        <v>29</v>
      </c>
      <c r="G17" s="208">
        <v>32.5</v>
      </c>
      <c r="H17" s="208">
        <v>36</v>
      </c>
      <c r="I17" s="209">
        <v>31</v>
      </c>
      <c r="J17" s="210">
        <f t="shared" si="0"/>
        <v>31.333333333333332</v>
      </c>
      <c r="K17" s="211">
        <f t="shared" si="1"/>
        <v>51.838235294117645</v>
      </c>
      <c r="L17" s="231">
        <f t="shared" si="2"/>
        <v>15</v>
      </c>
    </row>
    <row r="18" spans="2:12" ht="15">
      <c r="B18" s="173">
        <f>'Team list - 2003'!A16</f>
        <v>19</v>
      </c>
      <c r="C18" s="207" t="str">
        <f>'Team list - 2003'!B16</f>
        <v>University of Braunschweig, GERMANY</v>
      </c>
      <c r="D18" s="215">
        <v>46.5</v>
      </c>
      <c r="E18" s="215">
        <v>46</v>
      </c>
      <c r="F18" s="215">
        <v>46</v>
      </c>
      <c r="G18" s="208">
        <v>41</v>
      </c>
      <c r="H18" s="208">
        <v>45</v>
      </c>
      <c r="I18" s="209">
        <v>47.5</v>
      </c>
      <c r="J18" s="210">
        <f t="shared" si="0"/>
        <v>45.333333333333336</v>
      </c>
      <c r="K18" s="211">
        <f t="shared" si="1"/>
        <v>75</v>
      </c>
      <c r="L18" s="231">
        <f t="shared" si="2"/>
        <v>1</v>
      </c>
    </row>
    <row r="19" spans="2:12" ht="15">
      <c r="B19" s="173">
        <f>'Team list - 2003'!A17</f>
        <v>21</v>
      </c>
      <c r="C19" s="207" t="str">
        <f>'Team list - 2003'!B17</f>
        <v>Tokyo Denki University, JAPAN </v>
      </c>
      <c r="D19" s="215">
        <v>32</v>
      </c>
      <c r="E19" s="215">
        <v>22</v>
      </c>
      <c r="F19" s="215">
        <v>38</v>
      </c>
      <c r="G19" s="208">
        <v>27.5</v>
      </c>
      <c r="H19" s="208">
        <v>32</v>
      </c>
      <c r="I19" s="209">
        <v>27.5</v>
      </c>
      <c r="J19" s="210">
        <f t="shared" si="0"/>
        <v>29.833333333333332</v>
      </c>
      <c r="K19" s="211">
        <f t="shared" si="1"/>
        <v>49.356617647058826</v>
      </c>
      <c r="L19" s="231">
        <f t="shared" si="2"/>
        <v>16</v>
      </c>
    </row>
    <row r="20" spans="2:12" ht="15">
      <c r="B20" s="173">
        <f>'Team list - 2003'!A18</f>
        <v>23</v>
      </c>
      <c r="C20" s="207" t="str">
        <f>'Team list - 2003'!B18</f>
        <v>Deakin University</v>
      </c>
      <c r="D20" s="215">
        <v>29</v>
      </c>
      <c r="E20" s="215">
        <v>31</v>
      </c>
      <c r="F20" s="215">
        <v>37</v>
      </c>
      <c r="G20" s="208">
        <v>34</v>
      </c>
      <c r="H20" s="208">
        <v>37.5</v>
      </c>
      <c r="I20" s="209">
        <v>33</v>
      </c>
      <c r="J20" s="210">
        <f t="shared" si="0"/>
        <v>33.583333333333336</v>
      </c>
      <c r="K20" s="211">
        <f t="shared" si="1"/>
        <v>55.560661764705884</v>
      </c>
      <c r="L20" s="231">
        <f t="shared" si="2"/>
        <v>13</v>
      </c>
    </row>
    <row r="21" spans="2:12" ht="15">
      <c r="B21" s="173">
        <f>'Team list - 2003'!A19</f>
        <v>31</v>
      </c>
      <c r="C21" s="207" t="str">
        <f>'Team list - 2003'!B19</f>
        <v>Georgia Institute of Technology, USA</v>
      </c>
      <c r="D21" s="215">
        <v>39.5</v>
      </c>
      <c r="E21" s="215">
        <v>43.5</v>
      </c>
      <c r="F21" s="215">
        <v>43</v>
      </c>
      <c r="G21" s="208">
        <v>43</v>
      </c>
      <c r="H21" s="208">
        <v>37</v>
      </c>
      <c r="I21" s="209">
        <v>34.5</v>
      </c>
      <c r="J21" s="210">
        <f t="shared" si="0"/>
        <v>40.083333333333336</v>
      </c>
      <c r="K21" s="211">
        <f t="shared" si="1"/>
        <v>66.31433823529412</v>
      </c>
      <c r="L21" s="231">
        <f t="shared" si="2"/>
        <v>5</v>
      </c>
    </row>
    <row r="22" spans="2:12" ht="15">
      <c r="B22" s="173">
        <f>'Team list - 2003'!A20</f>
        <v>35</v>
      </c>
      <c r="C22" s="207" t="str">
        <f>'Team list - 2003'!B20</f>
        <v>Chalmers University, SWEDEN </v>
      </c>
      <c r="D22" s="215">
        <v>41</v>
      </c>
      <c r="E22" s="215">
        <v>38</v>
      </c>
      <c r="F22" s="215">
        <v>38</v>
      </c>
      <c r="G22" s="208">
        <v>46</v>
      </c>
      <c r="H22" s="208">
        <v>41</v>
      </c>
      <c r="I22" s="209">
        <v>44</v>
      </c>
      <c r="J22" s="210">
        <f t="shared" si="0"/>
        <v>41.333333333333336</v>
      </c>
      <c r="K22" s="211">
        <f t="shared" si="1"/>
        <v>68.38235294117646</v>
      </c>
      <c r="L22" s="231">
        <f t="shared" si="2"/>
        <v>3</v>
      </c>
    </row>
    <row r="23" spans="2:12" ht="15">
      <c r="B23" s="173">
        <f>'Team list - 2003'!A21</f>
        <v>41</v>
      </c>
      <c r="C23" s="207" t="str">
        <f>'Team list - 2003'!B21</f>
        <v>University of Queensland</v>
      </c>
      <c r="D23" s="215">
        <v>31.5</v>
      </c>
      <c r="E23" s="215">
        <v>29</v>
      </c>
      <c r="F23" s="215">
        <v>33.5</v>
      </c>
      <c r="G23" s="208">
        <v>30</v>
      </c>
      <c r="H23" s="208">
        <v>35</v>
      </c>
      <c r="I23" s="209">
        <v>34.5</v>
      </c>
      <c r="J23" s="210">
        <f t="shared" si="0"/>
        <v>32.25</v>
      </c>
      <c r="K23" s="211">
        <f t="shared" si="1"/>
        <v>53.3547794117647</v>
      </c>
      <c r="L23" s="231">
        <f t="shared" si="2"/>
        <v>14</v>
      </c>
    </row>
    <row r="24" spans="2:12" ht="15">
      <c r="B24" s="173">
        <f>'Team list - 2003'!A22</f>
        <v>44</v>
      </c>
      <c r="C24" s="207" t="str">
        <f>'Team list - 2003'!B22</f>
        <v>University of Newcastle</v>
      </c>
      <c r="D24" s="208">
        <v>25</v>
      </c>
      <c r="E24" s="208">
        <v>28</v>
      </c>
      <c r="F24" s="216">
        <v>35</v>
      </c>
      <c r="G24" s="208">
        <v>21</v>
      </c>
      <c r="H24" s="208">
        <v>35</v>
      </c>
      <c r="I24" s="209">
        <v>32.5</v>
      </c>
      <c r="J24" s="210">
        <f t="shared" si="0"/>
        <v>29.416666666666668</v>
      </c>
      <c r="K24" s="211">
        <f t="shared" si="1"/>
        <v>48.66727941176471</v>
      </c>
      <c r="L24" s="231">
        <f t="shared" si="2"/>
        <v>18</v>
      </c>
    </row>
    <row r="25" spans="2:12" ht="15">
      <c r="B25" s="173">
        <f>'Team list - 2003'!A23</f>
        <v>45</v>
      </c>
      <c r="C25" s="207" t="str">
        <f>'Team list - 2003'!B23</f>
        <v>RMIT University</v>
      </c>
      <c r="D25" s="208">
        <v>36.5</v>
      </c>
      <c r="E25" s="208">
        <v>37.5</v>
      </c>
      <c r="F25" s="216">
        <v>35</v>
      </c>
      <c r="G25" s="208">
        <v>36</v>
      </c>
      <c r="H25" s="208">
        <v>32</v>
      </c>
      <c r="I25" s="209">
        <v>29</v>
      </c>
      <c r="J25" s="210">
        <f t="shared" si="0"/>
        <v>34.333333333333336</v>
      </c>
      <c r="K25" s="211">
        <f t="shared" si="1"/>
        <v>56.80147058823529</v>
      </c>
      <c r="L25" s="231">
        <f t="shared" si="2"/>
        <v>12</v>
      </c>
    </row>
    <row r="26" spans="2:12" ht="15">
      <c r="B26" s="173">
        <f>'Team list - 2003'!A24</f>
        <v>63</v>
      </c>
      <c r="C26" s="207" t="str">
        <f>'Team list - 2003'!B24</f>
        <v>University of NSW</v>
      </c>
      <c r="D26" s="208">
        <v>34</v>
      </c>
      <c r="E26" s="208">
        <v>44.5</v>
      </c>
      <c r="F26" s="216">
        <v>42</v>
      </c>
      <c r="G26" s="208">
        <v>44</v>
      </c>
      <c r="H26" s="208">
        <v>36</v>
      </c>
      <c r="I26" s="209">
        <v>32</v>
      </c>
      <c r="J26" s="210">
        <f t="shared" si="0"/>
        <v>38.75</v>
      </c>
      <c r="K26" s="211">
        <f t="shared" si="1"/>
        <v>64.10845588235294</v>
      </c>
      <c r="L26" s="231">
        <f t="shared" si="2"/>
        <v>8</v>
      </c>
    </row>
    <row r="27" spans="2:12" ht="15.75" thickBot="1">
      <c r="B27" s="179">
        <f>'Team list - 2003'!A25</f>
        <v>66</v>
      </c>
      <c r="C27" s="217" t="str">
        <f>'Team list - 2003'!B25</f>
        <v>Monash University</v>
      </c>
      <c r="D27" s="218">
        <v>44.5</v>
      </c>
      <c r="E27" s="218">
        <v>44.5</v>
      </c>
      <c r="F27" s="219">
        <v>38</v>
      </c>
      <c r="G27" s="218">
        <v>42.5</v>
      </c>
      <c r="H27" s="218">
        <v>46</v>
      </c>
      <c r="I27" s="220">
        <v>40</v>
      </c>
      <c r="J27" s="221">
        <f t="shared" si="0"/>
        <v>42.583333333333336</v>
      </c>
      <c r="K27" s="222">
        <f t="shared" si="1"/>
        <v>70.45036764705883</v>
      </c>
      <c r="L27" s="233">
        <f t="shared" si="2"/>
        <v>2</v>
      </c>
    </row>
    <row r="28" spans="2:11" ht="15">
      <c r="B28" s="74"/>
      <c r="C28" s="24"/>
      <c r="D28" s="77"/>
      <c r="E28" s="77"/>
      <c r="F28" s="77"/>
      <c r="G28" s="78">
        <f>IF(D28="","",AVERAGE(D28:F28))</f>
      </c>
      <c r="H28" s="78">
        <f>IF(G28="","",75*($G28/$J$30))</f>
      </c>
      <c r="I28" s="78"/>
      <c r="J28" s="78"/>
      <c r="K28" s="78"/>
    </row>
    <row r="29" spans="2:11" ht="15.75" thickBot="1">
      <c r="B29" s="34"/>
      <c r="C29" s="34"/>
      <c r="D29" s="35"/>
      <c r="E29" s="35"/>
      <c r="F29" s="35"/>
      <c r="G29" s="27"/>
      <c r="H29" s="35"/>
      <c r="I29" s="34"/>
      <c r="J29" s="34"/>
      <c r="K29" s="34"/>
    </row>
    <row r="30" spans="9:10" ht="13.5" thickBot="1">
      <c r="I30" s="79" t="s">
        <v>8</v>
      </c>
      <c r="J30" s="90">
        <f>MAX(J7:J27)</f>
        <v>45.333333333333336</v>
      </c>
    </row>
  </sheetData>
  <mergeCells count="1">
    <mergeCell ref="D4:I4"/>
  </mergeCells>
  <conditionalFormatting sqref="L7:L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horizontalCentered="1" verticalCentered="1"/>
  <pageMargins left="0.2362204724409449" right="0.1968503937007874" top="0.4330708661417323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B4">
      <selection activeCell="D26" sqref="D26"/>
    </sheetView>
  </sheetViews>
  <sheetFormatPr defaultColWidth="9.140625" defaultRowHeight="12.75"/>
  <cols>
    <col min="1" max="1" width="0" style="0" hidden="1" customWidth="1"/>
    <col min="3" max="3" width="50.00390625" style="0" customWidth="1"/>
  </cols>
  <sheetData>
    <row r="1" spans="2:8" ht="45">
      <c r="B1" s="102" t="s">
        <v>124</v>
      </c>
      <c r="C1" s="84"/>
      <c r="D1" s="84"/>
      <c r="E1" s="84"/>
      <c r="F1" s="95"/>
      <c r="G1" s="84"/>
      <c r="H1" s="84"/>
    </row>
    <row r="2" ht="9" customHeight="1" thickBot="1">
      <c r="D2" s="149"/>
    </row>
    <row r="3" spans="2:5" ht="12.75">
      <c r="B3" s="1"/>
      <c r="C3" s="2"/>
      <c r="D3" s="7" t="s">
        <v>0</v>
      </c>
      <c r="E3" s="7" t="s">
        <v>0</v>
      </c>
    </row>
    <row r="4" spans="2:5" ht="15.75">
      <c r="B4" s="8" t="s">
        <v>6</v>
      </c>
      <c r="C4" s="9" t="s">
        <v>93</v>
      </c>
      <c r="D4" s="13" t="s">
        <v>2</v>
      </c>
      <c r="E4" s="13" t="s">
        <v>3</v>
      </c>
    </row>
    <row r="5" spans="2:5" ht="15.75">
      <c r="B5" s="8" t="s">
        <v>7</v>
      </c>
      <c r="D5" s="13" t="s">
        <v>3</v>
      </c>
      <c r="E5" s="13" t="s">
        <v>5</v>
      </c>
    </row>
    <row r="6" spans="2:5" ht="15.75" thickBot="1">
      <c r="B6" s="17"/>
      <c r="C6" s="18"/>
      <c r="D6" s="22" t="s">
        <v>4</v>
      </c>
      <c r="E6" s="38" t="s">
        <v>131</v>
      </c>
    </row>
    <row r="7" spans="2:5" ht="15">
      <c r="B7" s="169">
        <f>'Team list - 2003'!A5</f>
        <v>1</v>
      </c>
      <c r="C7" s="170" t="str">
        <f>'Team list - 2003'!B5</f>
        <v>University of Wollongong</v>
      </c>
      <c r="D7" s="223">
        <v>124</v>
      </c>
      <c r="E7" s="231">
        <f>IF(D7="","",RANK(D7,$D$7:$D$27))</f>
        <v>3</v>
      </c>
    </row>
    <row r="8" spans="2:5" ht="15">
      <c r="B8" s="173">
        <f>'Team list - 2003'!A6</f>
        <v>2</v>
      </c>
      <c r="C8" s="174" t="str">
        <f>'Team list - 2003'!B6</f>
        <v>University of Western Australia</v>
      </c>
      <c r="D8" s="224">
        <v>144.9</v>
      </c>
      <c r="E8" s="231">
        <f aca="true" t="shared" si="0" ref="E8:E27">IF(D8="","",RANK(D8,$D$7:$D$27))</f>
        <v>1</v>
      </c>
    </row>
    <row r="9" spans="2:5" ht="15">
      <c r="B9" s="173">
        <f>'Team list - 2003'!A7</f>
        <v>3</v>
      </c>
      <c r="C9" s="174" t="str">
        <f>'Team list - 2003'!B7</f>
        <v>University of Sydney</v>
      </c>
      <c r="D9" s="224">
        <v>85</v>
      </c>
      <c r="E9" s="231">
        <f t="shared" si="0"/>
        <v>15</v>
      </c>
    </row>
    <row r="10" spans="2:5" ht="15">
      <c r="B10" s="173">
        <f>'Team list - 2003'!A8</f>
        <v>4</v>
      </c>
      <c r="C10" s="174" t="str">
        <f>'Team list - 2003'!B8</f>
        <v>Swinburne University of Technology</v>
      </c>
      <c r="D10" s="224">
        <v>143.6</v>
      </c>
      <c r="E10" s="231">
        <f t="shared" si="0"/>
        <v>2</v>
      </c>
    </row>
    <row r="11" spans="2:5" ht="15">
      <c r="B11" s="173">
        <f>'Team list - 2003'!A9</f>
        <v>5</v>
      </c>
      <c r="C11" s="174" t="str">
        <f>'Team list - 2003'!B9</f>
        <v>Rochester Institute of Technology, USA</v>
      </c>
      <c r="D11" s="224">
        <v>112</v>
      </c>
      <c r="E11" s="231">
        <f t="shared" si="0"/>
        <v>8</v>
      </c>
    </row>
    <row r="12" spans="2:5" s="156" customFormat="1" ht="30">
      <c r="B12" s="173">
        <f>'Team list - 2003'!A10</f>
        <v>6</v>
      </c>
      <c r="C12" s="174" t="str">
        <f>'Team list - 2003'!B10</f>
        <v>Australian National University &amp; Canberra Institute of Technology</v>
      </c>
      <c r="D12" s="225">
        <v>78.6</v>
      </c>
      <c r="E12" s="231">
        <f t="shared" si="0"/>
        <v>17</v>
      </c>
    </row>
    <row r="13" spans="2:5" ht="15">
      <c r="B13" s="173">
        <f>'Team list - 2003'!A11</f>
        <v>8</v>
      </c>
      <c r="C13" s="174" t="str">
        <f>'Team list - 2003'!B11</f>
        <v>University of Technology, Sydney</v>
      </c>
      <c r="D13" s="224">
        <v>61</v>
      </c>
      <c r="E13" s="231">
        <f t="shared" si="0"/>
        <v>20</v>
      </c>
    </row>
    <row r="14" spans="2:5" ht="15">
      <c r="B14" s="173">
        <f>'Team list - 2003'!A12</f>
        <v>9</v>
      </c>
      <c r="C14" s="174" t="str">
        <f>'Team list - 2003'!B12</f>
        <v>The University of Adelaide</v>
      </c>
      <c r="D14" s="224">
        <v>106.8</v>
      </c>
      <c r="E14" s="231">
        <f t="shared" si="0"/>
        <v>10</v>
      </c>
    </row>
    <row r="15" spans="2:5" ht="15">
      <c r="B15" s="173">
        <f>'Team list - 2003'!A13</f>
        <v>11</v>
      </c>
      <c r="C15" s="174" t="str">
        <f>'Team list - 2003'!B13</f>
        <v>Auburn University, USA</v>
      </c>
      <c r="D15" s="224">
        <v>120.5</v>
      </c>
      <c r="E15" s="231">
        <f t="shared" si="0"/>
        <v>7</v>
      </c>
    </row>
    <row r="16" spans="2:5" ht="15">
      <c r="B16" s="173">
        <f>'Team list - 2003'!A14</f>
        <v>14</v>
      </c>
      <c r="C16" s="174" t="str">
        <f>'Team list - 2003'!B14</f>
        <v>Curtin University of Technology</v>
      </c>
      <c r="D16" s="224">
        <v>66.3</v>
      </c>
      <c r="E16" s="231">
        <f t="shared" si="0"/>
        <v>19</v>
      </c>
    </row>
    <row r="17" spans="2:5" ht="15">
      <c r="B17" s="173">
        <f>'Team list - 2003'!A15</f>
        <v>18</v>
      </c>
      <c r="C17" s="174" t="str">
        <f>'Team list - 2003'!B15</f>
        <v>University of Melbourne</v>
      </c>
      <c r="D17" s="224">
        <v>107</v>
      </c>
      <c r="E17" s="231">
        <f t="shared" si="0"/>
        <v>9</v>
      </c>
    </row>
    <row r="18" spans="2:5" ht="15">
      <c r="B18" s="173">
        <f>'Team list - 2003'!A16</f>
        <v>19</v>
      </c>
      <c r="C18" s="174" t="str">
        <f>'Team list - 2003'!B16</f>
        <v>University of Braunschweig, GERMANY</v>
      </c>
      <c r="D18" s="224">
        <v>77.3</v>
      </c>
      <c r="E18" s="231">
        <f t="shared" si="0"/>
        <v>18</v>
      </c>
    </row>
    <row r="19" spans="2:5" ht="15">
      <c r="B19" s="173">
        <f>'Team list - 2003'!A17</f>
        <v>21</v>
      </c>
      <c r="C19" s="174" t="str">
        <f>'Team list - 2003'!B17</f>
        <v>Tokyo Denki University, JAPAN </v>
      </c>
      <c r="D19" s="224">
        <v>85.5</v>
      </c>
      <c r="E19" s="231">
        <f t="shared" si="0"/>
        <v>14</v>
      </c>
    </row>
    <row r="20" spans="2:5" ht="15">
      <c r="B20" s="173">
        <f>'Team list - 2003'!A18</f>
        <v>23</v>
      </c>
      <c r="C20" s="174" t="str">
        <f>'Team list - 2003'!B18</f>
        <v>Deakin University</v>
      </c>
      <c r="D20" s="224">
        <v>47.9</v>
      </c>
      <c r="E20" s="231">
        <f t="shared" si="0"/>
        <v>21</v>
      </c>
    </row>
    <row r="21" spans="2:5" ht="15">
      <c r="B21" s="173">
        <f>'Team list - 2003'!A19</f>
        <v>31</v>
      </c>
      <c r="C21" s="174" t="str">
        <f>'Team list - 2003'!B19</f>
        <v>Georgia Institute of Technology, USA</v>
      </c>
      <c r="D21" s="224">
        <v>122</v>
      </c>
      <c r="E21" s="231">
        <f t="shared" si="0"/>
        <v>5</v>
      </c>
    </row>
    <row r="22" spans="2:5" ht="15">
      <c r="B22" s="173">
        <f>'Team list - 2003'!A20</f>
        <v>35</v>
      </c>
      <c r="C22" s="174" t="str">
        <f>'Team list - 2003'!B20</f>
        <v>Chalmers University, SWEDEN </v>
      </c>
      <c r="D22" s="224">
        <v>121.5</v>
      </c>
      <c r="E22" s="231">
        <f t="shared" si="0"/>
        <v>6</v>
      </c>
    </row>
    <row r="23" spans="2:5" ht="15">
      <c r="B23" s="173">
        <f>'Team list - 2003'!A21</f>
        <v>41</v>
      </c>
      <c r="C23" s="174" t="str">
        <f>'Team list - 2003'!B21</f>
        <v>University of Queensland</v>
      </c>
      <c r="D23" s="224">
        <v>123.5</v>
      </c>
      <c r="E23" s="231">
        <f t="shared" si="0"/>
        <v>4</v>
      </c>
    </row>
    <row r="24" spans="2:5" ht="15">
      <c r="B24" s="173">
        <f>'Team list - 2003'!A22</f>
        <v>44</v>
      </c>
      <c r="C24" s="174" t="str">
        <f>'Team list - 2003'!B22</f>
        <v>University of Newcastle</v>
      </c>
      <c r="D24" s="226">
        <v>82</v>
      </c>
      <c r="E24" s="231">
        <f t="shared" si="0"/>
        <v>16</v>
      </c>
    </row>
    <row r="25" spans="2:5" ht="15">
      <c r="B25" s="173">
        <f>'Team list - 2003'!A23</f>
        <v>45</v>
      </c>
      <c r="C25" s="174" t="str">
        <f>'Team list - 2003'!B23</f>
        <v>RMIT University</v>
      </c>
      <c r="D25" s="226">
        <v>102</v>
      </c>
      <c r="E25" s="231">
        <f t="shared" si="0"/>
        <v>12</v>
      </c>
    </row>
    <row r="26" spans="2:5" ht="15">
      <c r="B26" s="173">
        <f>'Team list - 2003'!A24</f>
        <v>63</v>
      </c>
      <c r="C26" s="174" t="str">
        <f>'Team list - 2003'!B24</f>
        <v>University of NSW</v>
      </c>
      <c r="D26" s="226">
        <v>90.9</v>
      </c>
      <c r="E26" s="231">
        <f t="shared" si="0"/>
        <v>13</v>
      </c>
    </row>
    <row r="27" spans="2:8" ht="15.75" thickBot="1">
      <c r="B27" s="179">
        <f>'Team list - 2003'!A25</f>
        <v>66</v>
      </c>
      <c r="C27" s="180" t="str">
        <f>'Team list - 2003'!B25</f>
        <v>Monash University</v>
      </c>
      <c r="D27" s="227">
        <v>106</v>
      </c>
      <c r="E27" s="231">
        <f t="shared" si="0"/>
        <v>11</v>
      </c>
      <c r="F27" s="85"/>
      <c r="G27" s="85"/>
      <c r="H27" s="85"/>
    </row>
    <row r="28" spans="2:8" ht="15">
      <c r="B28" s="74"/>
      <c r="C28" s="75"/>
      <c r="D28" s="77"/>
      <c r="E28" s="78"/>
      <c r="F28" s="29"/>
      <c r="G28" s="29"/>
      <c r="H28" s="29"/>
    </row>
  </sheetData>
  <conditionalFormatting sqref="E7:E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zoomScale="75" zoomScaleNormal="75" workbookViewId="0" topLeftCell="D1">
      <selection activeCell="U7" sqref="U7"/>
    </sheetView>
  </sheetViews>
  <sheetFormatPr defaultColWidth="9.140625" defaultRowHeight="12.75"/>
  <cols>
    <col min="1" max="1" width="0" style="0" hidden="1" customWidth="1"/>
    <col min="3" max="3" width="76.140625" style="0" customWidth="1"/>
    <col min="4" max="4" width="13.28125" style="55" bestFit="1" customWidth="1"/>
    <col min="6" max="6" width="11.57421875" style="0" bestFit="1" customWidth="1"/>
    <col min="10" max="10" width="11.57421875" style="0" bestFit="1" customWidth="1"/>
    <col min="14" max="14" width="11.57421875" style="0" bestFit="1" customWidth="1"/>
    <col min="18" max="18" width="11.57421875" style="0" bestFit="1" customWidth="1"/>
    <col min="20" max="20" width="9.7109375" style="0" customWidth="1"/>
    <col min="21" max="21" width="9.7109375" style="0" bestFit="1" customWidth="1"/>
    <col min="22" max="22" width="9.8515625" style="0" customWidth="1"/>
  </cols>
  <sheetData>
    <row r="1" spans="2:21" ht="45">
      <c r="B1" s="84" t="s">
        <v>120</v>
      </c>
      <c r="C1" s="95"/>
      <c r="D1" s="95"/>
      <c r="E1" s="95"/>
      <c r="F1" s="95"/>
      <c r="G1" s="95"/>
      <c r="H1" s="95"/>
      <c r="I1" s="95"/>
      <c r="J1" s="95"/>
      <c r="U1" s="149"/>
    </row>
    <row r="2" ht="13.5" thickBot="1"/>
    <row r="3" spans="2:22" ht="12.75">
      <c r="B3" s="60"/>
      <c r="C3" s="7"/>
      <c r="D3" s="6"/>
      <c r="E3" s="61"/>
      <c r="F3" s="61"/>
      <c r="G3" s="61"/>
      <c r="H3" s="62"/>
      <c r="I3" s="61"/>
      <c r="J3" s="61"/>
      <c r="K3" s="63"/>
      <c r="L3" s="61"/>
      <c r="M3" s="61"/>
      <c r="N3" s="61"/>
      <c r="O3" s="61"/>
      <c r="P3" s="62"/>
      <c r="Q3" s="61"/>
      <c r="R3" s="61"/>
      <c r="S3" s="63"/>
      <c r="T3" s="6"/>
      <c r="U3" s="7" t="s">
        <v>0</v>
      </c>
      <c r="V3" s="64" t="s">
        <v>0</v>
      </c>
    </row>
    <row r="4" spans="2:22" ht="16.5" thickBot="1">
      <c r="B4" s="13" t="s">
        <v>6</v>
      </c>
      <c r="C4" s="9" t="s">
        <v>93</v>
      </c>
      <c r="D4" s="382" t="s">
        <v>10</v>
      </c>
      <c r="E4" s="379"/>
      <c r="F4" s="379"/>
      <c r="G4" s="379"/>
      <c r="H4" s="383" t="s">
        <v>10</v>
      </c>
      <c r="I4" s="384"/>
      <c r="J4" s="384"/>
      <c r="K4" s="385"/>
      <c r="L4" s="379" t="s">
        <v>10</v>
      </c>
      <c r="M4" s="379"/>
      <c r="N4" s="379"/>
      <c r="O4" s="379"/>
      <c r="P4" s="383" t="s">
        <v>10</v>
      </c>
      <c r="Q4" s="384"/>
      <c r="R4" s="384"/>
      <c r="S4" s="385"/>
      <c r="T4" s="11" t="s">
        <v>23</v>
      </c>
      <c r="U4" s="13" t="s">
        <v>2</v>
      </c>
      <c r="V4" s="67" t="s">
        <v>3</v>
      </c>
    </row>
    <row r="5" spans="2:22" ht="13.5" thickBot="1">
      <c r="B5" s="65" t="s">
        <v>7</v>
      </c>
      <c r="C5" s="13"/>
      <c r="D5" s="381" t="s">
        <v>24</v>
      </c>
      <c r="E5" s="381"/>
      <c r="F5" s="381"/>
      <c r="G5" s="381"/>
      <c r="H5" s="381" t="s">
        <v>25</v>
      </c>
      <c r="I5" s="381"/>
      <c r="J5" s="381"/>
      <c r="K5" s="381"/>
      <c r="L5" s="381" t="s">
        <v>26</v>
      </c>
      <c r="M5" s="381"/>
      <c r="N5" s="381"/>
      <c r="O5" s="381"/>
      <c r="P5" s="381" t="s">
        <v>27</v>
      </c>
      <c r="Q5" s="381"/>
      <c r="R5" s="381"/>
      <c r="S5" s="381"/>
      <c r="T5" s="11" t="s">
        <v>12</v>
      </c>
      <c r="U5" s="13" t="s">
        <v>3</v>
      </c>
      <c r="V5" s="67" t="s">
        <v>5</v>
      </c>
    </row>
    <row r="6" spans="2:22" ht="13.5" thickBot="1">
      <c r="B6" s="66"/>
      <c r="C6" s="22"/>
      <c r="D6" s="68" t="s">
        <v>147</v>
      </c>
      <c r="E6" s="68" t="s">
        <v>32</v>
      </c>
      <c r="F6" s="68" t="s">
        <v>11</v>
      </c>
      <c r="G6" s="68" t="s">
        <v>12</v>
      </c>
      <c r="H6" s="68" t="s">
        <v>147</v>
      </c>
      <c r="I6" s="68" t="s">
        <v>32</v>
      </c>
      <c r="J6" s="68" t="s">
        <v>11</v>
      </c>
      <c r="K6" s="68" t="s">
        <v>12</v>
      </c>
      <c r="L6" s="68" t="s">
        <v>147</v>
      </c>
      <c r="M6" s="68" t="s">
        <v>32</v>
      </c>
      <c r="N6" s="68" t="s">
        <v>11</v>
      </c>
      <c r="O6" s="68" t="s">
        <v>12</v>
      </c>
      <c r="P6" s="68" t="s">
        <v>147</v>
      </c>
      <c r="Q6" s="68" t="s">
        <v>32</v>
      </c>
      <c r="R6" s="68" t="s">
        <v>11</v>
      </c>
      <c r="S6" s="68" t="s">
        <v>12</v>
      </c>
      <c r="T6" s="21"/>
      <c r="U6" s="22" t="s">
        <v>4</v>
      </c>
      <c r="V6" s="38" t="s">
        <v>131</v>
      </c>
    </row>
    <row r="7" spans="2:22" s="121" customFormat="1" ht="15">
      <c r="B7" s="329">
        <f>'Team list - 2003'!A5</f>
        <v>1</v>
      </c>
      <c r="C7" s="330" t="str">
        <f>'Team list - 2003'!B5</f>
        <v>University of Wollongong</v>
      </c>
      <c r="D7" s="345">
        <v>5.81</v>
      </c>
      <c r="E7" s="190">
        <v>5.93</v>
      </c>
      <c r="F7" s="190">
        <v>0</v>
      </c>
      <c r="G7" s="228">
        <f>IF(AVERAGE(D7,E7)+(F7*0.25)&lt;0.5,"",AVERAGE(D7,E7)+(F7*0.25))</f>
        <v>5.869999999999999</v>
      </c>
      <c r="H7" s="190">
        <v>5.8</v>
      </c>
      <c r="I7" s="190">
        <v>5.82</v>
      </c>
      <c r="J7" s="190">
        <v>0</v>
      </c>
      <c r="K7" s="228">
        <f>IF(AVERAGE(H7,I7)+(J7*0.25)&lt;0.5,"",AVERAGE(H7,I7)+(J7*0.25))</f>
        <v>5.8100000000000005</v>
      </c>
      <c r="L7" s="190">
        <v>100</v>
      </c>
      <c r="M7" s="308">
        <v>100</v>
      </c>
      <c r="N7" s="308"/>
      <c r="O7" s="228">
        <f>IF(AVERAGE(L7,M7)+(N7*0.25)&lt;0.5,"",AVERAGE(L7,M7)+(N7*0.25))</f>
        <v>100</v>
      </c>
      <c r="P7" s="190">
        <v>5.55</v>
      </c>
      <c r="Q7" s="190">
        <v>5.82</v>
      </c>
      <c r="R7" s="190">
        <v>0</v>
      </c>
      <c r="S7" s="228">
        <f>IF(AVERAGE(P7,Q7)+(R7*0.25)&lt;0.5,"",AVERAGE(P7,Q7)+(R7*0.25))</f>
        <v>5.6850000000000005</v>
      </c>
      <c r="T7" s="228">
        <f>IF(MIN(G7,K7,O7,S7)=0,"",MIN(G7,K7,O7,S7))</f>
        <v>5.6850000000000005</v>
      </c>
      <c r="U7" s="172">
        <f>IF(T7="","",IF(T7&gt;$T$29,2.5,47.5*((($T$29/T7)^2-1)/(($T$29/$T$30)^2-1))+2.5))</f>
        <v>22.325062093080955</v>
      </c>
      <c r="V7" s="231">
        <f>IF(U7="","",RANK(U7,$U$7:$U$27))</f>
        <v>13</v>
      </c>
    </row>
    <row r="8" spans="2:22" s="121" customFormat="1" ht="15">
      <c r="B8" s="325">
        <f>'Team list - 2003'!A6</f>
        <v>2</v>
      </c>
      <c r="C8" s="326" t="str">
        <f>'Team list - 2003'!B6</f>
        <v>University of Western Australia</v>
      </c>
      <c r="D8" s="309">
        <v>6.27</v>
      </c>
      <c r="E8" s="194">
        <v>6.04</v>
      </c>
      <c r="F8" s="194">
        <v>0</v>
      </c>
      <c r="G8" s="230">
        <f aca="true" t="shared" si="0" ref="G8:G27">IF(AVERAGE(D8,E8)+(F8*0.25)&lt;0.5,"",AVERAGE(D8,E8)+(F8*0.25))</f>
        <v>6.154999999999999</v>
      </c>
      <c r="H8" s="194">
        <v>5.33</v>
      </c>
      <c r="I8" s="194">
        <v>5.33</v>
      </c>
      <c r="J8" s="194"/>
      <c r="K8" s="230">
        <f aca="true" t="shared" si="1" ref="K8:K27">IF(AVERAGE(H8,I8)+(J8*0.25)&lt;0.5,"",AVERAGE(H8,I8)+(J8*0.25))</f>
        <v>5.33</v>
      </c>
      <c r="L8" s="194">
        <v>5.27</v>
      </c>
      <c r="M8" s="194">
        <v>5.99</v>
      </c>
      <c r="N8" s="194">
        <v>0</v>
      </c>
      <c r="O8" s="230">
        <f aca="true" t="shared" si="2" ref="O8:O27">IF(AVERAGE(L8,M8)+(N8*0.25)&lt;0.5,"",AVERAGE(L8,M8)+(N8*0.25))</f>
        <v>5.63</v>
      </c>
      <c r="P8" s="194">
        <v>6.42</v>
      </c>
      <c r="Q8" s="194">
        <v>5.54</v>
      </c>
      <c r="R8" s="194">
        <v>0</v>
      </c>
      <c r="S8" s="230">
        <f aca="true" t="shared" si="3" ref="S8:S27">IF(AVERAGE(P8,Q8)+(R8*0.25)&lt;0.5,"",AVERAGE(P8,Q8)+(R8*0.25))</f>
        <v>5.98</v>
      </c>
      <c r="T8" s="230">
        <f aca="true" t="shared" si="4" ref="T8:T27">IF(MIN(G8,K8,O8,S8)=0,"",MIN(G8,K8,O8,S8))</f>
        <v>5.33</v>
      </c>
      <c r="U8" s="176">
        <f aca="true" t="shared" si="5" ref="U8:U27">IF(T8="","",IF(T8&gt;$T$29,2.5,47.5*((($T$29/T8)^2-1)/(($T$29/$T$30)^2-1))+2.5))</f>
        <v>39.94471216663507</v>
      </c>
      <c r="V8" s="231">
        <f aca="true" t="shared" si="6" ref="V8:V27">IF(U8="","",RANK(U8,$U$7:$U$27))</f>
        <v>3</v>
      </c>
    </row>
    <row r="9" spans="2:24" s="121" customFormat="1" ht="15">
      <c r="B9" s="325">
        <f>'Team list - 2003'!A7</f>
        <v>3</v>
      </c>
      <c r="C9" s="326" t="str">
        <f>'Team list - 2003'!B7</f>
        <v>University of Sydney</v>
      </c>
      <c r="D9" s="309">
        <v>6.93</v>
      </c>
      <c r="E9" s="194">
        <v>5.77</v>
      </c>
      <c r="F9" s="194">
        <v>0</v>
      </c>
      <c r="G9" s="230">
        <f t="shared" si="0"/>
        <v>6.35</v>
      </c>
      <c r="H9" s="194"/>
      <c r="I9" s="312">
        <v>100</v>
      </c>
      <c r="J9" s="312"/>
      <c r="K9" s="230">
        <f t="shared" si="1"/>
        <v>100</v>
      </c>
      <c r="L9" s="194">
        <v>7.14</v>
      </c>
      <c r="M9" s="194">
        <v>6.38</v>
      </c>
      <c r="N9" s="194">
        <v>0</v>
      </c>
      <c r="O9" s="230">
        <f t="shared" si="2"/>
        <v>6.76</v>
      </c>
      <c r="P9" s="194">
        <v>6.32</v>
      </c>
      <c r="Q9" s="194">
        <v>5.93</v>
      </c>
      <c r="R9" s="194">
        <v>0</v>
      </c>
      <c r="S9" s="230">
        <f t="shared" si="3"/>
        <v>6.125</v>
      </c>
      <c r="T9" s="230">
        <f t="shared" si="4"/>
        <v>6.125</v>
      </c>
      <c r="U9" s="176">
        <f t="shared" si="5"/>
        <v>4.594225368152708</v>
      </c>
      <c r="V9" s="231">
        <f t="shared" si="6"/>
        <v>14</v>
      </c>
      <c r="X9" s="119"/>
    </row>
    <row r="10" spans="2:24" s="121" customFormat="1" ht="15">
      <c r="B10" s="325">
        <f>'Team list - 2003'!A8</f>
        <v>4</v>
      </c>
      <c r="C10" s="326" t="str">
        <f>'Team list - 2003'!B8</f>
        <v>Swinburne University of Technology</v>
      </c>
      <c r="D10" s="309"/>
      <c r="E10" s="312">
        <v>100</v>
      </c>
      <c r="F10" s="312"/>
      <c r="G10" s="230">
        <f t="shared" si="0"/>
        <v>100</v>
      </c>
      <c r="H10" s="194">
        <v>5.6</v>
      </c>
      <c r="I10" s="194">
        <v>5.44</v>
      </c>
      <c r="J10" s="194">
        <v>0</v>
      </c>
      <c r="K10" s="230">
        <f t="shared" si="1"/>
        <v>5.52</v>
      </c>
      <c r="L10" s="194">
        <v>5.49</v>
      </c>
      <c r="M10" s="194">
        <v>5.49</v>
      </c>
      <c r="N10" s="194">
        <v>0</v>
      </c>
      <c r="O10" s="230">
        <f t="shared" si="2"/>
        <v>5.49</v>
      </c>
      <c r="P10" s="194">
        <v>5.33</v>
      </c>
      <c r="Q10" s="194">
        <v>5.38</v>
      </c>
      <c r="R10" s="194">
        <v>0</v>
      </c>
      <c r="S10" s="210">
        <f t="shared" si="3"/>
        <v>5.355</v>
      </c>
      <c r="T10" s="230">
        <f t="shared" si="4"/>
        <v>5.355</v>
      </c>
      <c r="U10" s="176">
        <f t="shared" si="5"/>
        <v>38.58814610606412</v>
      </c>
      <c r="V10" s="231">
        <f t="shared" si="6"/>
        <v>5</v>
      </c>
      <c r="X10" s="331"/>
    </row>
    <row r="11" spans="2:24" s="121" customFormat="1" ht="15">
      <c r="B11" s="325">
        <f>'Team list - 2003'!A9</f>
        <v>5</v>
      </c>
      <c r="C11" s="326" t="str">
        <f>'Team list - 2003'!B9</f>
        <v>Rochester Institute of Technology, USA</v>
      </c>
      <c r="D11" s="309"/>
      <c r="E11" s="312">
        <v>100</v>
      </c>
      <c r="F11" s="312"/>
      <c r="G11" s="230">
        <f t="shared" si="0"/>
        <v>100</v>
      </c>
      <c r="H11" s="194">
        <v>5.49</v>
      </c>
      <c r="I11" s="194">
        <v>5.28</v>
      </c>
      <c r="J11" s="194">
        <v>0</v>
      </c>
      <c r="K11" s="230">
        <f t="shared" si="1"/>
        <v>5.385</v>
      </c>
      <c r="L11" s="194"/>
      <c r="M11" s="312">
        <v>100</v>
      </c>
      <c r="N11" s="312"/>
      <c r="O11" s="230">
        <f t="shared" si="2"/>
        <v>100</v>
      </c>
      <c r="P11" s="194">
        <v>5.88</v>
      </c>
      <c r="Q11" s="194">
        <v>5.44</v>
      </c>
      <c r="R11" s="194">
        <v>0</v>
      </c>
      <c r="S11" s="230">
        <f t="shared" si="3"/>
        <v>5.66</v>
      </c>
      <c r="T11" s="230">
        <f t="shared" si="4"/>
        <v>5.385</v>
      </c>
      <c r="U11" s="176">
        <f t="shared" si="5"/>
        <v>36.98514083246721</v>
      </c>
      <c r="V11" s="231">
        <f t="shared" si="6"/>
        <v>7</v>
      </c>
      <c r="X11" s="331"/>
    </row>
    <row r="12" spans="2:24" s="300" customFormat="1" ht="15">
      <c r="B12" s="296">
        <f>'Team list - 2003'!A10</f>
        <v>6</v>
      </c>
      <c r="C12" s="297" t="str">
        <f>'Team list - 2003'!B10</f>
        <v>Australian National University &amp; Canberra Institute of Technology</v>
      </c>
      <c r="D12" s="346"/>
      <c r="E12" s="299"/>
      <c r="F12" s="299"/>
      <c r="G12" s="298"/>
      <c r="H12" s="299"/>
      <c r="I12" s="299"/>
      <c r="J12" s="299"/>
      <c r="K12" s="298"/>
      <c r="L12" s="299"/>
      <c r="M12" s="299"/>
      <c r="N12" s="299"/>
      <c r="O12" s="298"/>
      <c r="P12" s="299"/>
      <c r="Q12" s="299"/>
      <c r="R12" s="299"/>
      <c r="S12" s="298"/>
      <c r="T12" s="298"/>
      <c r="U12" s="176">
        <f t="shared" si="5"/>
      </c>
      <c r="V12" s="302">
        <f t="shared" si="6"/>
      </c>
      <c r="X12" s="306"/>
    </row>
    <row r="13" spans="2:24" s="323" customFormat="1" ht="15">
      <c r="B13" s="321">
        <f>'Team list - 2003'!A11</f>
        <v>8</v>
      </c>
      <c r="C13" s="322" t="str">
        <f>'Team list - 2003'!B11</f>
        <v>University of Technology, Sydney</v>
      </c>
      <c r="D13" s="310"/>
      <c r="E13" s="302"/>
      <c r="F13" s="302"/>
      <c r="G13" s="301"/>
      <c r="H13" s="302"/>
      <c r="I13" s="302"/>
      <c r="J13" s="302"/>
      <c r="K13" s="301"/>
      <c r="L13" s="302"/>
      <c r="M13" s="302"/>
      <c r="N13" s="302"/>
      <c r="O13" s="301"/>
      <c r="P13" s="302"/>
      <c r="Q13" s="302"/>
      <c r="R13" s="302"/>
      <c r="S13" s="301"/>
      <c r="T13" s="301"/>
      <c r="U13" s="176">
        <f t="shared" si="5"/>
      </c>
      <c r="V13" s="302">
        <f t="shared" si="6"/>
      </c>
      <c r="X13" s="324"/>
    </row>
    <row r="14" spans="2:24" s="121" customFormat="1" ht="15">
      <c r="B14" s="325">
        <f>'Team list - 2003'!A12</f>
        <v>9</v>
      </c>
      <c r="C14" s="326" t="str">
        <f>'Team list - 2003'!B12</f>
        <v>The University of Adelaide</v>
      </c>
      <c r="D14" s="309">
        <v>6.1</v>
      </c>
      <c r="E14" s="194">
        <v>5.6</v>
      </c>
      <c r="F14" s="194">
        <v>0</v>
      </c>
      <c r="G14" s="230">
        <f t="shared" si="0"/>
        <v>5.85</v>
      </c>
      <c r="H14" s="194">
        <v>5.72</v>
      </c>
      <c r="I14" s="194">
        <v>5.55</v>
      </c>
      <c r="J14" s="194">
        <v>0</v>
      </c>
      <c r="K14" s="230">
        <f t="shared" si="1"/>
        <v>5.635</v>
      </c>
      <c r="L14" s="194">
        <v>5.66</v>
      </c>
      <c r="M14" s="194">
        <v>5.51</v>
      </c>
      <c r="N14" s="194">
        <v>0</v>
      </c>
      <c r="O14" s="230">
        <f t="shared" si="2"/>
        <v>5.585</v>
      </c>
      <c r="P14" s="194">
        <v>5.71</v>
      </c>
      <c r="Q14" s="194">
        <v>5.48</v>
      </c>
      <c r="R14" s="194">
        <v>0</v>
      </c>
      <c r="S14" s="230">
        <f t="shared" si="3"/>
        <v>5.595000000000001</v>
      </c>
      <c r="T14" s="230">
        <f t="shared" si="4"/>
        <v>5.585</v>
      </c>
      <c r="U14" s="176">
        <f t="shared" si="5"/>
        <v>26.950111790605614</v>
      </c>
      <c r="V14" s="231">
        <f t="shared" si="6"/>
        <v>12</v>
      </c>
      <c r="X14" s="120"/>
    </row>
    <row r="15" spans="2:24" s="121" customFormat="1" ht="15">
      <c r="B15" s="325">
        <f>'Team list - 2003'!A13</f>
        <v>11</v>
      </c>
      <c r="C15" s="326" t="str">
        <f>'Team list - 2003'!B13</f>
        <v>Auburn University, USA</v>
      </c>
      <c r="D15" s="309">
        <v>5.33</v>
      </c>
      <c r="E15" s="194">
        <v>5.27</v>
      </c>
      <c r="F15" s="194">
        <v>1</v>
      </c>
      <c r="G15" s="230">
        <f t="shared" si="0"/>
        <v>5.55</v>
      </c>
      <c r="H15" s="194">
        <v>5.43</v>
      </c>
      <c r="I15" s="194">
        <v>5.27</v>
      </c>
      <c r="J15" s="194">
        <v>0</v>
      </c>
      <c r="K15" s="230">
        <f t="shared" si="1"/>
        <v>5.35</v>
      </c>
      <c r="L15" s="194">
        <v>5.5</v>
      </c>
      <c r="M15" s="194">
        <v>5.49</v>
      </c>
      <c r="N15" s="194">
        <v>1</v>
      </c>
      <c r="O15" s="230">
        <f t="shared" si="2"/>
        <v>5.745</v>
      </c>
      <c r="P15" s="194">
        <v>5.5</v>
      </c>
      <c r="Q15" s="194">
        <v>5.44</v>
      </c>
      <c r="R15" s="194">
        <v>0</v>
      </c>
      <c r="S15" s="230">
        <f t="shared" si="3"/>
        <v>5.470000000000001</v>
      </c>
      <c r="T15" s="230">
        <f t="shared" si="4"/>
        <v>5.35</v>
      </c>
      <c r="U15" s="176">
        <f t="shared" si="5"/>
        <v>38.85793864937923</v>
      </c>
      <c r="V15" s="231">
        <f t="shared" si="6"/>
        <v>4</v>
      </c>
      <c r="X15" s="120"/>
    </row>
    <row r="16" spans="2:24" s="121" customFormat="1" ht="15">
      <c r="B16" s="325">
        <f>'Team list - 2003'!A14</f>
        <v>14</v>
      </c>
      <c r="C16" s="326" t="str">
        <f>'Team list - 2003'!B14</f>
        <v>Curtin University of Technology</v>
      </c>
      <c r="D16" s="309">
        <v>7.74</v>
      </c>
      <c r="E16" s="194">
        <v>7.36</v>
      </c>
      <c r="F16" s="194">
        <v>0</v>
      </c>
      <c r="G16" s="230">
        <f t="shared" si="0"/>
        <v>7.550000000000001</v>
      </c>
      <c r="H16" s="194"/>
      <c r="I16" s="312">
        <v>100</v>
      </c>
      <c r="J16" s="314"/>
      <c r="K16" s="230">
        <f t="shared" si="1"/>
        <v>100</v>
      </c>
      <c r="L16" s="194">
        <v>7.74</v>
      </c>
      <c r="M16" s="194">
        <v>6.59</v>
      </c>
      <c r="N16" s="194"/>
      <c r="O16" s="230">
        <f t="shared" si="2"/>
        <v>7.165</v>
      </c>
      <c r="P16" s="194"/>
      <c r="Q16" s="312">
        <v>100</v>
      </c>
      <c r="R16" s="312"/>
      <c r="S16" s="230">
        <f t="shared" si="3"/>
        <v>100</v>
      </c>
      <c r="T16" s="230">
        <f t="shared" si="4"/>
        <v>7.165</v>
      </c>
      <c r="U16" s="176">
        <f t="shared" si="5"/>
        <v>2.5</v>
      </c>
      <c r="V16" s="231">
        <f t="shared" si="6"/>
        <v>15</v>
      </c>
      <c r="X16" s="120"/>
    </row>
    <row r="17" spans="2:24" s="323" customFormat="1" ht="15">
      <c r="B17" s="321">
        <f>'Team list - 2003'!A15</f>
        <v>18</v>
      </c>
      <c r="C17" s="322" t="str">
        <f>'Team list - 2003'!B15</f>
        <v>University of Melbourne</v>
      </c>
      <c r="D17" s="310"/>
      <c r="E17" s="302"/>
      <c r="F17" s="302"/>
      <c r="G17" s="301"/>
      <c r="H17" s="302"/>
      <c r="I17" s="302"/>
      <c r="J17" s="302"/>
      <c r="K17" s="301"/>
      <c r="L17" s="302"/>
      <c r="M17" s="302"/>
      <c r="N17" s="302"/>
      <c r="O17" s="301"/>
      <c r="P17" s="302"/>
      <c r="Q17" s="302"/>
      <c r="R17" s="302"/>
      <c r="S17" s="301"/>
      <c r="T17" s="301"/>
      <c r="U17" s="176">
        <f t="shared" si="5"/>
      </c>
      <c r="V17" s="302">
        <f t="shared" si="6"/>
      </c>
      <c r="X17" s="307"/>
    </row>
    <row r="18" spans="2:22" s="323" customFormat="1" ht="15">
      <c r="B18" s="321">
        <f>'Team list - 2003'!A16</f>
        <v>19</v>
      </c>
      <c r="C18" s="322" t="str">
        <f>'Team list - 2003'!B16</f>
        <v>University of Braunschweig, GERMANY</v>
      </c>
      <c r="D18" s="310"/>
      <c r="E18" s="302"/>
      <c r="F18" s="302"/>
      <c r="G18" s="301"/>
      <c r="H18" s="302"/>
      <c r="I18" s="302"/>
      <c r="J18" s="302"/>
      <c r="K18" s="301"/>
      <c r="L18" s="302"/>
      <c r="M18" s="302"/>
      <c r="N18" s="302"/>
      <c r="O18" s="301"/>
      <c r="P18" s="302"/>
      <c r="Q18" s="302"/>
      <c r="R18" s="302"/>
      <c r="S18" s="301"/>
      <c r="T18" s="301"/>
      <c r="U18" s="176">
        <f t="shared" si="5"/>
      </c>
      <c r="V18" s="302">
        <f t="shared" si="6"/>
      </c>
    </row>
    <row r="19" spans="2:22" s="121" customFormat="1" ht="15">
      <c r="B19" s="325">
        <f>'Team list - 2003'!A17</f>
        <v>21</v>
      </c>
      <c r="C19" s="326" t="str">
        <f>'Team list - 2003'!B17</f>
        <v>Tokyo Denki University, JAPAN </v>
      </c>
      <c r="D19" s="309">
        <v>5.55</v>
      </c>
      <c r="E19" s="194">
        <v>5.93</v>
      </c>
      <c r="F19" s="194">
        <v>0</v>
      </c>
      <c r="G19" s="230">
        <f t="shared" si="0"/>
        <v>5.74</v>
      </c>
      <c r="H19" s="194"/>
      <c r="I19" s="312">
        <v>100</v>
      </c>
      <c r="J19" s="312"/>
      <c r="K19" s="230">
        <f t="shared" si="1"/>
        <v>100</v>
      </c>
      <c r="L19" s="194">
        <v>5.82</v>
      </c>
      <c r="M19" s="194">
        <v>5.88</v>
      </c>
      <c r="N19" s="194">
        <v>0</v>
      </c>
      <c r="O19" s="230">
        <f t="shared" si="2"/>
        <v>5.85</v>
      </c>
      <c r="P19" s="194">
        <v>5.55</v>
      </c>
      <c r="Q19" s="194">
        <v>5.49</v>
      </c>
      <c r="R19" s="194">
        <v>0</v>
      </c>
      <c r="S19" s="230">
        <f t="shared" si="3"/>
        <v>5.52</v>
      </c>
      <c r="T19" s="230">
        <f t="shared" si="4"/>
        <v>5.52</v>
      </c>
      <c r="U19" s="176">
        <f t="shared" si="5"/>
        <v>30.092119091092524</v>
      </c>
      <c r="V19" s="231">
        <f t="shared" si="6"/>
        <v>9</v>
      </c>
    </row>
    <row r="20" spans="2:22" s="121" customFormat="1" ht="15">
      <c r="B20" s="325">
        <f>'Team list - 2003'!A18</f>
        <v>23</v>
      </c>
      <c r="C20" s="326" t="str">
        <f>'Team list - 2003'!B18</f>
        <v>Deakin University</v>
      </c>
      <c r="D20" s="309"/>
      <c r="E20" s="312">
        <v>100</v>
      </c>
      <c r="F20" s="312"/>
      <c r="G20" s="230">
        <f t="shared" si="0"/>
        <v>100</v>
      </c>
      <c r="H20" s="194">
        <v>6.75</v>
      </c>
      <c r="I20" s="194">
        <v>7.08</v>
      </c>
      <c r="J20" s="194">
        <v>0</v>
      </c>
      <c r="K20" s="230">
        <f t="shared" si="1"/>
        <v>6.915</v>
      </c>
      <c r="L20" s="194"/>
      <c r="M20" s="312">
        <v>100</v>
      </c>
      <c r="N20" s="312"/>
      <c r="O20" s="230">
        <f t="shared" si="2"/>
        <v>100</v>
      </c>
      <c r="P20" s="194"/>
      <c r="Q20" s="312">
        <v>100</v>
      </c>
      <c r="R20" s="312"/>
      <c r="S20" s="230">
        <f t="shared" si="3"/>
        <v>100</v>
      </c>
      <c r="T20" s="230">
        <f t="shared" si="4"/>
        <v>6.915</v>
      </c>
      <c r="U20" s="176">
        <f t="shared" si="5"/>
        <v>2.5</v>
      </c>
      <c r="V20" s="231">
        <f t="shared" si="6"/>
        <v>15</v>
      </c>
    </row>
    <row r="21" spans="2:22" s="121" customFormat="1" ht="15">
      <c r="B21" s="325">
        <f>'Team list - 2003'!A19</f>
        <v>31</v>
      </c>
      <c r="C21" s="326" t="str">
        <f>'Team list - 2003'!B19</f>
        <v>Georgia Institute of Technology, USA</v>
      </c>
      <c r="D21" s="309">
        <v>5.49</v>
      </c>
      <c r="E21" s="194">
        <v>5.39</v>
      </c>
      <c r="F21" s="194">
        <v>2</v>
      </c>
      <c r="G21" s="230">
        <f t="shared" si="0"/>
        <v>5.9399999999999995</v>
      </c>
      <c r="H21" s="194">
        <v>5.27</v>
      </c>
      <c r="I21" s="194">
        <v>5.22</v>
      </c>
      <c r="J21" s="194">
        <v>0</v>
      </c>
      <c r="K21" s="230">
        <f t="shared" si="1"/>
        <v>5.244999999999999</v>
      </c>
      <c r="L21" s="194"/>
      <c r="M21" s="312">
        <v>100</v>
      </c>
      <c r="N21" s="312"/>
      <c r="O21" s="230">
        <f t="shared" si="2"/>
        <v>100</v>
      </c>
      <c r="P21" s="194">
        <v>5.21</v>
      </c>
      <c r="Q21" s="194">
        <v>5.1</v>
      </c>
      <c r="R21" s="194">
        <v>0</v>
      </c>
      <c r="S21" s="230">
        <f t="shared" si="3"/>
        <v>5.154999999999999</v>
      </c>
      <c r="T21" s="230">
        <f t="shared" si="4"/>
        <v>5.154999999999999</v>
      </c>
      <c r="U21" s="176">
        <f t="shared" si="5"/>
        <v>50</v>
      </c>
      <c r="V21" s="231">
        <f t="shared" si="6"/>
        <v>1</v>
      </c>
    </row>
    <row r="22" spans="2:22" s="121" customFormat="1" ht="15">
      <c r="B22" s="325">
        <f>'Team list - 2003'!A20</f>
        <v>35</v>
      </c>
      <c r="C22" s="326" t="str">
        <f>'Team list - 2003'!B20</f>
        <v>Chalmers University, SWEDEN </v>
      </c>
      <c r="D22" s="309">
        <v>5.88</v>
      </c>
      <c r="E22" s="194">
        <v>5.66</v>
      </c>
      <c r="F22" s="194">
        <v>0</v>
      </c>
      <c r="G22" s="230">
        <f t="shared" si="0"/>
        <v>5.77</v>
      </c>
      <c r="H22" s="194">
        <v>5.83</v>
      </c>
      <c r="I22" s="194">
        <v>5.61</v>
      </c>
      <c r="J22" s="194">
        <v>0</v>
      </c>
      <c r="K22" s="230">
        <f t="shared" si="1"/>
        <v>5.720000000000001</v>
      </c>
      <c r="L22" s="194">
        <v>5.71</v>
      </c>
      <c r="M22" s="194">
        <v>5.49</v>
      </c>
      <c r="N22" s="194">
        <v>0</v>
      </c>
      <c r="O22" s="230">
        <f t="shared" si="2"/>
        <v>5.6</v>
      </c>
      <c r="P22" s="355">
        <v>5.49</v>
      </c>
      <c r="Q22" s="194">
        <v>5.43</v>
      </c>
      <c r="R22" s="194">
        <v>0</v>
      </c>
      <c r="S22" s="210">
        <f>IF(AVERAGE(P21,Q22)+(R22*0.25)&lt;0.5,"",AVERAGE(P21,Q22)+(R22*0.25))</f>
        <v>5.32</v>
      </c>
      <c r="T22" s="230">
        <f t="shared" si="4"/>
        <v>5.32</v>
      </c>
      <c r="U22" s="176">
        <f t="shared" si="5"/>
        <v>40.492700996232486</v>
      </c>
      <c r="V22" s="231">
        <f t="shared" si="6"/>
        <v>2</v>
      </c>
    </row>
    <row r="23" spans="2:22" s="121" customFormat="1" ht="15">
      <c r="B23" s="325">
        <f>'Team list - 2003'!A21</f>
        <v>41</v>
      </c>
      <c r="C23" s="326" t="str">
        <f>'Team list - 2003'!B21</f>
        <v>University of Queensland</v>
      </c>
      <c r="D23" s="309">
        <v>5.6</v>
      </c>
      <c r="E23" s="194">
        <v>5.55</v>
      </c>
      <c r="F23" s="194">
        <v>0</v>
      </c>
      <c r="G23" s="230">
        <f t="shared" si="0"/>
        <v>5.574999999999999</v>
      </c>
      <c r="H23" s="194">
        <v>5.55</v>
      </c>
      <c r="I23" s="194">
        <v>5.49</v>
      </c>
      <c r="J23" s="194">
        <v>0</v>
      </c>
      <c r="K23" s="230">
        <f t="shared" si="1"/>
        <v>5.52</v>
      </c>
      <c r="L23" s="194">
        <v>5.6</v>
      </c>
      <c r="M23" s="194">
        <v>5.44</v>
      </c>
      <c r="N23" s="194">
        <v>1</v>
      </c>
      <c r="O23" s="230">
        <f t="shared" si="2"/>
        <v>5.77</v>
      </c>
      <c r="P23" s="194">
        <v>5.44</v>
      </c>
      <c r="Q23" s="194">
        <v>5.28</v>
      </c>
      <c r="R23" s="194">
        <v>0</v>
      </c>
      <c r="S23" s="230">
        <f t="shared" si="3"/>
        <v>5.36</v>
      </c>
      <c r="T23" s="230">
        <f t="shared" si="4"/>
        <v>5.36</v>
      </c>
      <c r="U23" s="176">
        <f t="shared" si="5"/>
        <v>38.31910822698694</v>
      </c>
      <c r="V23" s="231">
        <f t="shared" si="6"/>
        <v>6</v>
      </c>
    </row>
    <row r="24" spans="2:22" s="323" customFormat="1" ht="15">
      <c r="B24" s="321">
        <f>'Team list - 2003'!A22</f>
        <v>44</v>
      </c>
      <c r="C24" s="322" t="str">
        <f>'Team list - 2003'!B22</f>
        <v>University of Newcastle</v>
      </c>
      <c r="D24" s="310"/>
      <c r="E24" s="302"/>
      <c r="F24" s="302"/>
      <c r="G24" s="301"/>
      <c r="H24" s="302"/>
      <c r="I24" s="302"/>
      <c r="J24" s="302"/>
      <c r="K24" s="301"/>
      <c r="L24" s="302"/>
      <c r="M24" s="302"/>
      <c r="N24" s="302"/>
      <c r="O24" s="301"/>
      <c r="P24" s="302"/>
      <c r="Q24" s="302"/>
      <c r="R24" s="302"/>
      <c r="S24" s="301"/>
      <c r="T24" s="301"/>
      <c r="U24" s="176">
        <f t="shared" si="5"/>
      </c>
      <c r="V24" s="302">
        <f t="shared" si="6"/>
      </c>
    </row>
    <row r="25" spans="2:22" s="121" customFormat="1" ht="15">
      <c r="B25" s="325">
        <f>'Team list - 2003'!A23</f>
        <v>45</v>
      </c>
      <c r="C25" s="326" t="str">
        <f>'Team list - 2003'!B23</f>
        <v>RMIT University</v>
      </c>
      <c r="D25" s="309"/>
      <c r="E25" s="312">
        <v>100</v>
      </c>
      <c r="F25" s="312"/>
      <c r="G25" s="230">
        <f t="shared" si="0"/>
        <v>100</v>
      </c>
      <c r="H25" s="194">
        <v>5.71</v>
      </c>
      <c r="I25" s="194">
        <v>5.66</v>
      </c>
      <c r="J25" s="194">
        <v>0</v>
      </c>
      <c r="K25" s="230">
        <f t="shared" si="1"/>
        <v>5.6850000000000005</v>
      </c>
      <c r="L25" s="194">
        <v>5.71</v>
      </c>
      <c r="M25" s="194">
        <v>5.71</v>
      </c>
      <c r="N25" s="194">
        <v>0</v>
      </c>
      <c r="O25" s="230">
        <f t="shared" si="2"/>
        <v>5.71</v>
      </c>
      <c r="P25" s="194">
        <v>5.55</v>
      </c>
      <c r="Q25" s="194">
        <v>5.61</v>
      </c>
      <c r="R25" s="194">
        <v>0</v>
      </c>
      <c r="S25" s="230">
        <f t="shared" si="3"/>
        <v>5.58</v>
      </c>
      <c r="T25" s="230">
        <f t="shared" si="4"/>
        <v>5.58</v>
      </c>
      <c r="U25" s="176">
        <f t="shared" si="5"/>
        <v>27.187912836059418</v>
      </c>
      <c r="V25" s="231">
        <f t="shared" si="6"/>
        <v>11</v>
      </c>
    </row>
    <row r="26" spans="2:22" s="121" customFormat="1" ht="15">
      <c r="B26" s="325">
        <f>'Team list - 2003'!A24</f>
        <v>63</v>
      </c>
      <c r="C26" s="326" t="str">
        <f>'Team list - 2003'!B24</f>
        <v>University of NSW</v>
      </c>
      <c r="D26" s="309">
        <v>6.32</v>
      </c>
      <c r="E26" s="194">
        <v>5.93</v>
      </c>
      <c r="F26" s="194">
        <v>0</v>
      </c>
      <c r="G26" s="230">
        <f t="shared" si="0"/>
        <v>6.125</v>
      </c>
      <c r="H26" s="194">
        <v>6.09</v>
      </c>
      <c r="I26" s="194">
        <v>5.82</v>
      </c>
      <c r="J26" s="194">
        <v>0</v>
      </c>
      <c r="K26" s="230">
        <f t="shared" si="1"/>
        <v>5.955</v>
      </c>
      <c r="L26" s="194">
        <v>5.6</v>
      </c>
      <c r="M26" s="194">
        <v>5.55</v>
      </c>
      <c r="N26" s="194">
        <v>0</v>
      </c>
      <c r="O26" s="230">
        <f t="shared" si="2"/>
        <v>5.574999999999999</v>
      </c>
      <c r="P26" s="194">
        <v>6.15</v>
      </c>
      <c r="Q26" s="194">
        <v>5.39</v>
      </c>
      <c r="R26" s="194">
        <v>2</v>
      </c>
      <c r="S26" s="230">
        <f t="shared" si="3"/>
        <v>6.27</v>
      </c>
      <c r="T26" s="230">
        <f t="shared" si="4"/>
        <v>5.574999999999999</v>
      </c>
      <c r="U26" s="176">
        <f t="shared" si="5"/>
        <v>27.42635399182745</v>
      </c>
      <c r="V26" s="231">
        <f t="shared" si="6"/>
        <v>10</v>
      </c>
    </row>
    <row r="27" spans="2:22" s="121" customFormat="1" ht="15.75" thickBot="1">
      <c r="B27" s="327">
        <f>'Team list - 2003'!A25</f>
        <v>66</v>
      </c>
      <c r="C27" s="328" t="str">
        <f>'Team list - 2003'!B25</f>
        <v>Monash University</v>
      </c>
      <c r="D27" s="311">
        <v>6.21</v>
      </c>
      <c r="E27" s="201">
        <v>5.6</v>
      </c>
      <c r="F27" s="201">
        <v>0</v>
      </c>
      <c r="G27" s="232">
        <f t="shared" si="0"/>
        <v>5.904999999999999</v>
      </c>
      <c r="H27" s="201">
        <v>5.55</v>
      </c>
      <c r="I27" s="201">
        <v>5.38</v>
      </c>
      <c r="J27" s="201">
        <v>0</v>
      </c>
      <c r="K27" s="232">
        <f t="shared" si="1"/>
        <v>5.465</v>
      </c>
      <c r="L27" s="201"/>
      <c r="M27" s="312">
        <v>100</v>
      </c>
      <c r="N27" s="313"/>
      <c r="O27" s="232">
        <f t="shared" si="2"/>
        <v>100</v>
      </c>
      <c r="P27" s="201">
        <v>5.27</v>
      </c>
      <c r="Q27" s="201">
        <v>5.28</v>
      </c>
      <c r="R27" s="201">
        <v>1</v>
      </c>
      <c r="S27" s="232">
        <f t="shared" si="3"/>
        <v>5.525</v>
      </c>
      <c r="T27" s="232">
        <f t="shared" si="4"/>
        <v>5.465</v>
      </c>
      <c r="U27" s="182">
        <f t="shared" si="5"/>
        <v>32.83877365516417</v>
      </c>
      <c r="V27" s="231">
        <f t="shared" si="6"/>
        <v>8</v>
      </c>
    </row>
    <row r="28" spans="2:22" ht="15.75" thickBot="1">
      <c r="B28" s="74"/>
      <c r="C28" s="75"/>
      <c r="D28" s="103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9:20" ht="13.5" thickBot="1">
      <c r="S29" s="39" t="s">
        <v>102</v>
      </c>
      <c r="T29" s="19">
        <v>6.184</v>
      </c>
    </row>
    <row r="30" spans="4:20" ht="13.5" thickBot="1">
      <c r="D30" s="347"/>
      <c r="S30" s="39" t="s">
        <v>33</v>
      </c>
      <c r="T30" s="19">
        <f>MIN(T7:T27)</f>
        <v>5.154999999999999</v>
      </c>
    </row>
    <row r="31" spans="4:7" ht="12.75">
      <c r="D31" s="124"/>
      <c r="E31" s="53"/>
      <c r="F31" s="53"/>
      <c r="G31" s="319"/>
    </row>
    <row r="32" spans="4:7" ht="12.75">
      <c r="D32" s="348"/>
      <c r="E32" s="320"/>
      <c r="F32" s="320"/>
      <c r="G32" s="319"/>
    </row>
  </sheetData>
  <mergeCells count="8">
    <mergeCell ref="P5:S5"/>
    <mergeCell ref="D4:G4"/>
    <mergeCell ref="H4:K4"/>
    <mergeCell ref="L4:O4"/>
    <mergeCell ref="P4:S4"/>
    <mergeCell ref="D5:G5"/>
    <mergeCell ref="H5:K5"/>
    <mergeCell ref="L5:O5"/>
  </mergeCells>
  <conditionalFormatting sqref="V7:V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2" right="0.23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="75" zoomScaleNormal="75" workbookViewId="0" topLeftCell="B1">
      <pane xSplit="2" topLeftCell="D2" activePane="topRight" state="frozen"/>
      <selection pane="topLeft" activeCell="C3" sqref="C3:C4"/>
      <selection pane="topRight" activeCell="G27" sqref="G27"/>
    </sheetView>
  </sheetViews>
  <sheetFormatPr defaultColWidth="9.140625" defaultRowHeight="12.75"/>
  <cols>
    <col min="1" max="1" width="0" style="0" hidden="1" customWidth="1"/>
    <col min="2" max="2" width="11.421875" style="0" customWidth="1"/>
    <col min="3" max="3" width="41.57421875" style="0" bestFit="1" customWidth="1"/>
    <col min="4" max="4" width="6.7109375" style="121" customWidth="1"/>
    <col min="5" max="5" width="9.421875" style="121" bestFit="1" customWidth="1"/>
    <col min="6" max="6" width="9.140625" style="121" customWidth="1"/>
    <col min="7" max="7" width="6.421875" style="121" customWidth="1"/>
    <col min="8" max="8" width="9.421875" style="121" bestFit="1" customWidth="1"/>
    <col min="9" max="9" width="9.140625" style="121" customWidth="1"/>
    <col min="10" max="10" width="7.421875" style="121" customWidth="1"/>
    <col min="11" max="11" width="9.421875" style="121" bestFit="1" customWidth="1"/>
    <col min="12" max="12" width="9.140625" style="121" customWidth="1"/>
    <col min="13" max="13" width="7.00390625" style="121" customWidth="1"/>
    <col min="14" max="14" width="9.421875" style="121" bestFit="1" customWidth="1"/>
    <col min="15" max="15" width="9.140625" style="121" customWidth="1"/>
    <col min="16" max="16" width="7.421875" style="34" customWidth="1"/>
    <col min="17" max="17" width="10.28125" style="34" customWidth="1"/>
    <col min="18" max="18" width="12.57421875" style="34" customWidth="1"/>
  </cols>
  <sheetData>
    <row r="1" spans="2:18" ht="45">
      <c r="B1" s="98" t="s">
        <v>125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49"/>
      <c r="Q1" s="128"/>
      <c r="R1" s="128"/>
    </row>
    <row r="2" ht="13.5" thickBot="1"/>
    <row r="3" spans="2:18" ht="12.75">
      <c r="B3" s="60"/>
      <c r="C3" s="7"/>
      <c r="D3" s="122"/>
      <c r="E3" s="6"/>
      <c r="F3" s="6"/>
      <c r="G3" s="6"/>
      <c r="H3" s="6"/>
      <c r="I3" s="6"/>
      <c r="J3" s="6"/>
      <c r="K3" s="6"/>
      <c r="L3" s="6"/>
      <c r="M3" s="6"/>
      <c r="N3" s="6"/>
      <c r="O3" s="64"/>
      <c r="P3" s="125"/>
      <c r="Q3" s="125" t="s">
        <v>0</v>
      </c>
      <c r="R3" s="125" t="s">
        <v>0</v>
      </c>
    </row>
    <row r="4" spans="2:18" ht="16.5" thickBot="1">
      <c r="B4" s="13" t="s">
        <v>6</v>
      </c>
      <c r="C4" s="9" t="s">
        <v>93</v>
      </c>
      <c r="D4" s="382" t="s">
        <v>10</v>
      </c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  <c r="P4" s="48" t="s">
        <v>23</v>
      </c>
      <c r="Q4" s="48" t="s">
        <v>2</v>
      </c>
      <c r="R4" s="48" t="s">
        <v>3</v>
      </c>
    </row>
    <row r="5" spans="2:18" ht="13.5" thickBot="1">
      <c r="B5" s="65" t="s">
        <v>7</v>
      </c>
      <c r="C5" s="13"/>
      <c r="D5" s="389" t="s">
        <v>34</v>
      </c>
      <c r="E5" s="390"/>
      <c r="F5" s="390"/>
      <c r="G5" s="390"/>
      <c r="H5" s="390"/>
      <c r="I5" s="391"/>
      <c r="J5" s="386" t="s">
        <v>83</v>
      </c>
      <c r="K5" s="387"/>
      <c r="L5" s="387"/>
      <c r="M5" s="387"/>
      <c r="N5" s="387"/>
      <c r="O5" s="388"/>
      <c r="P5" s="48" t="s">
        <v>12</v>
      </c>
      <c r="Q5" s="48" t="s">
        <v>3</v>
      </c>
      <c r="R5" s="48" t="s">
        <v>5</v>
      </c>
    </row>
    <row r="6" spans="2:18" ht="13.5" thickBot="1">
      <c r="B6" s="66"/>
      <c r="C6" s="22"/>
      <c r="D6" s="68" t="s">
        <v>12</v>
      </c>
      <c r="E6" s="68" t="s">
        <v>11</v>
      </c>
      <c r="F6" s="68" t="s">
        <v>84</v>
      </c>
      <c r="G6" s="68" t="s">
        <v>12</v>
      </c>
      <c r="H6" s="68" t="s">
        <v>11</v>
      </c>
      <c r="I6" s="68" t="s">
        <v>85</v>
      </c>
      <c r="J6" s="68" t="s">
        <v>12</v>
      </c>
      <c r="K6" s="68" t="s">
        <v>11</v>
      </c>
      <c r="L6" s="68" t="s">
        <v>84</v>
      </c>
      <c r="M6" s="68" t="s">
        <v>12</v>
      </c>
      <c r="N6" s="68" t="s">
        <v>11</v>
      </c>
      <c r="O6" s="68" t="s">
        <v>85</v>
      </c>
      <c r="P6" s="126"/>
      <c r="Q6" s="126" t="s">
        <v>4</v>
      </c>
      <c r="R6" s="127" t="s">
        <v>131</v>
      </c>
    </row>
    <row r="7" spans="2:18" ht="15">
      <c r="B7" s="169">
        <f>'Team list - 2003'!A5</f>
        <v>1</v>
      </c>
      <c r="C7" s="170" t="str">
        <f>'Team list - 2003'!B5</f>
        <v>University of Wollongong</v>
      </c>
      <c r="D7" s="171">
        <v>4.2049</v>
      </c>
      <c r="E7" s="190"/>
      <c r="F7" s="234">
        <f>IF(D7="","",D7+E7*2)</f>
        <v>4.2049</v>
      </c>
      <c r="G7" s="171">
        <v>4.1742</v>
      </c>
      <c r="H7" s="190"/>
      <c r="I7" s="234">
        <f>IF(G7="","",G7+H7*2)</f>
        <v>4.1742</v>
      </c>
      <c r="J7" s="171">
        <v>4.2378</v>
      </c>
      <c r="K7" s="190"/>
      <c r="L7" s="234">
        <f>IF(J7="","",J7+K7*2)</f>
        <v>4.2378</v>
      </c>
      <c r="M7" s="171">
        <v>4.1244</v>
      </c>
      <c r="N7" s="190"/>
      <c r="O7" s="234">
        <f>IF(M7="","",M7+N7*2)</f>
        <v>4.1244</v>
      </c>
      <c r="P7" s="205">
        <f>IF(D7="","",MIN(F7,I7,L7,O7))</f>
        <v>4.1244</v>
      </c>
      <c r="Q7" s="189">
        <f>IF(P7="","",IF(P7&gt;$P$29,3.5,71.5*((($P$29/P7)-1)/(($P$29/$P$30)-1)))+3.5)</f>
        <v>69.6105612760297</v>
      </c>
      <c r="R7" s="231">
        <f>IF(Q7="","",RANK(Q7,$Q$7:$Q$27))</f>
        <v>2</v>
      </c>
    </row>
    <row r="8" spans="2:18" ht="15">
      <c r="B8" s="173">
        <f>'Team list - 2003'!A6</f>
        <v>2</v>
      </c>
      <c r="C8" s="174" t="str">
        <f>'Team list - 2003'!B6</f>
        <v>University of Western Australia</v>
      </c>
      <c r="D8" s="175">
        <v>4.3055</v>
      </c>
      <c r="E8" s="194"/>
      <c r="F8" s="231">
        <f aca="true" t="shared" si="0" ref="F8:F27">IF(D8="","",D8+E8*2)</f>
        <v>4.3055</v>
      </c>
      <c r="G8" s="175">
        <v>4.6591</v>
      </c>
      <c r="H8" s="194"/>
      <c r="I8" s="231">
        <f aca="true" t="shared" si="1" ref="I8:I27">IF(G8="","",G8+H8*2)</f>
        <v>4.6591</v>
      </c>
      <c r="J8" s="175">
        <v>4.6875</v>
      </c>
      <c r="K8" s="194"/>
      <c r="L8" s="231">
        <f aca="true" t="shared" si="2" ref="L8:L27">IF(J8="","",J8+K8*2)</f>
        <v>4.6875</v>
      </c>
      <c r="M8" s="175">
        <v>4.3989</v>
      </c>
      <c r="N8" s="194"/>
      <c r="O8" s="231">
        <f aca="true" t="shared" si="3" ref="O8:O27">IF(M8="","",M8+N8*2)</f>
        <v>4.3989</v>
      </c>
      <c r="P8" s="210">
        <f aca="true" t="shared" si="4" ref="P8:P27">IF(D8="","",MIN(F8,I8,L8,O8))</f>
        <v>4.3055</v>
      </c>
      <c r="Q8" s="193">
        <f aca="true" t="shared" si="5" ref="Q8:Q27">IF(P8="","",IF(P8&gt;$P$29,3.5,71.5*((($P$29/P8)-1)/(($P$29/$P$30)-1)))+3.5)</f>
        <v>59.985060287684256</v>
      </c>
      <c r="R8" s="231">
        <f aca="true" t="shared" si="6" ref="R8:R27">IF(Q8="","",RANK(Q8,$Q$7:$Q$27))</f>
        <v>8</v>
      </c>
    </row>
    <row r="9" spans="2:18" ht="15">
      <c r="B9" s="173">
        <f>'Team list - 2003'!A7</f>
        <v>3</v>
      </c>
      <c r="C9" s="174" t="str">
        <f>'Team list - 2003'!B7</f>
        <v>University of Sydney</v>
      </c>
      <c r="D9" s="175">
        <v>4.5866</v>
      </c>
      <c r="E9" s="194"/>
      <c r="F9" s="231">
        <f t="shared" si="0"/>
        <v>4.5866</v>
      </c>
      <c r="G9" s="175">
        <v>5.3492</v>
      </c>
      <c r="H9" s="194"/>
      <c r="I9" s="231">
        <f t="shared" si="1"/>
        <v>5.3492</v>
      </c>
      <c r="J9" s="175"/>
      <c r="K9" s="194"/>
      <c r="L9" s="231">
        <f t="shared" si="2"/>
      </c>
      <c r="M9" s="175"/>
      <c r="N9" s="194"/>
      <c r="O9" s="231">
        <f t="shared" si="3"/>
      </c>
      <c r="P9" s="210">
        <f t="shared" si="4"/>
        <v>4.5866</v>
      </c>
      <c r="Q9" s="193">
        <f t="shared" si="5"/>
        <v>46.55012280964875</v>
      </c>
      <c r="R9" s="231">
        <f t="shared" si="6"/>
        <v>13</v>
      </c>
    </row>
    <row r="10" spans="2:18" ht="15">
      <c r="B10" s="173">
        <f>'Team list - 2003'!A8</f>
        <v>4</v>
      </c>
      <c r="C10" s="174" t="str">
        <f>'Team list - 2003'!B8</f>
        <v>Swinburne University of Technology</v>
      </c>
      <c r="D10" s="175">
        <v>4.1808</v>
      </c>
      <c r="E10" s="194"/>
      <c r="F10" s="231">
        <f t="shared" si="0"/>
        <v>4.1808</v>
      </c>
      <c r="G10" s="175">
        <v>4.2119</v>
      </c>
      <c r="H10" s="194"/>
      <c r="I10" s="231">
        <f t="shared" si="1"/>
        <v>4.2119</v>
      </c>
      <c r="J10" s="175">
        <v>4.2845</v>
      </c>
      <c r="K10" s="194"/>
      <c r="L10" s="231">
        <f t="shared" si="2"/>
        <v>4.2845</v>
      </c>
      <c r="M10" s="175">
        <v>4.2944</v>
      </c>
      <c r="N10" s="194"/>
      <c r="O10" s="231">
        <f t="shared" si="3"/>
        <v>4.2944</v>
      </c>
      <c r="P10" s="210">
        <f t="shared" si="4"/>
        <v>4.1808</v>
      </c>
      <c r="Q10" s="193">
        <f t="shared" si="5"/>
        <v>66.5234790464509</v>
      </c>
      <c r="R10" s="231">
        <f t="shared" si="6"/>
        <v>5</v>
      </c>
    </row>
    <row r="11" spans="2:18" ht="15">
      <c r="B11" s="173">
        <f>'Team list - 2003'!A9</f>
        <v>5</v>
      </c>
      <c r="C11" s="174" t="str">
        <f>'Team list - 2003'!B9</f>
        <v>Rochester Institute of Technology, USA</v>
      </c>
      <c r="D11" s="175">
        <v>4.2484</v>
      </c>
      <c r="E11" s="194"/>
      <c r="F11" s="231">
        <f t="shared" si="0"/>
        <v>4.2484</v>
      </c>
      <c r="G11" s="175">
        <v>4.8066</v>
      </c>
      <c r="H11" s="194"/>
      <c r="I11" s="231">
        <f t="shared" si="1"/>
        <v>4.8066</v>
      </c>
      <c r="J11" s="175">
        <v>4.2945</v>
      </c>
      <c r="K11" s="194"/>
      <c r="L11" s="231">
        <f t="shared" si="2"/>
        <v>4.2945</v>
      </c>
      <c r="M11" s="175">
        <v>4.2197</v>
      </c>
      <c r="N11" s="194"/>
      <c r="O11" s="231">
        <f t="shared" si="3"/>
        <v>4.2197</v>
      </c>
      <c r="P11" s="210">
        <f t="shared" si="4"/>
        <v>4.2197</v>
      </c>
      <c r="Q11" s="193">
        <f t="shared" si="5"/>
        <v>64.44235533473639</v>
      </c>
      <c r="R11" s="231">
        <f t="shared" si="6"/>
        <v>6</v>
      </c>
    </row>
    <row r="12" spans="2:18" s="300" customFormat="1" ht="30">
      <c r="B12" s="296">
        <f>'Team list - 2003'!A10</f>
        <v>6</v>
      </c>
      <c r="C12" s="297" t="str">
        <f>'Team list - 2003'!B10</f>
        <v>Australian National University &amp; Canberra Institute of Technology</v>
      </c>
      <c r="D12" s="298"/>
      <c r="E12" s="299"/>
      <c r="F12" s="299">
        <f t="shared" si="0"/>
      </c>
      <c r="G12" s="298"/>
      <c r="H12" s="299"/>
      <c r="I12" s="299">
        <f t="shared" si="1"/>
      </c>
      <c r="J12" s="298"/>
      <c r="K12" s="299"/>
      <c r="L12" s="299">
        <f t="shared" si="2"/>
      </c>
      <c r="M12" s="298"/>
      <c r="N12" s="299"/>
      <c r="O12" s="299">
        <f t="shared" si="3"/>
      </c>
      <c r="P12" s="298">
        <f t="shared" si="4"/>
      </c>
      <c r="Q12" s="193">
        <f t="shared" si="5"/>
      </c>
      <c r="R12" s="302">
        <f t="shared" si="6"/>
      </c>
    </row>
    <row r="13" spans="2:18" s="303" customFormat="1" ht="15">
      <c r="B13" s="296">
        <f>'Team list - 2003'!A11</f>
        <v>8</v>
      </c>
      <c r="C13" s="297" t="str">
        <f>'Team list - 2003'!B11</f>
        <v>University of Technology, Sydney</v>
      </c>
      <c r="D13" s="301"/>
      <c r="E13" s="302"/>
      <c r="F13" s="302">
        <f t="shared" si="0"/>
      </c>
      <c r="G13" s="301"/>
      <c r="H13" s="302"/>
      <c r="I13" s="302">
        <f t="shared" si="1"/>
      </c>
      <c r="J13" s="301"/>
      <c r="K13" s="302"/>
      <c r="L13" s="302">
        <f t="shared" si="2"/>
      </c>
      <c r="M13" s="301"/>
      <c r="N13" s="302"/>
      <c r="O13" s="302">
        <f t="shared" si="3"/>
      </c>
      <c r="P13" s="301">
        <f t="shared" si="4"/>
      </c>
      <c r="Q13" s="193">
        <f t="shared" si="5"/>
      </c>
      <c r="R13" s="302">
        <f t="shared" si="6"/>
      </c>
    </row>
    <row r="14" spans="2:18" ht="15">
      <c r="B14" s="173">
        <f>'Team list - 2003'!A12</f>
        <v>9</v>
      </c>
      <c r="C14" s="174" t="str">
        <f>'Team list - 2003'!B12</f>
        <v>The University of Adelaide</v>
      </c>
      <c r="D14" s="175">
        <v>4.8233</v>
      </c>
      <c r="E14" s="194"/>
      <c r="F14" s="231">
        <f t="shared" si="0"/>
        <v>4.8233</v>
      </c>
      <c r="G14" s="175">
        <v>5.0488</v>
      </c>
      <c r="H14" s="194"/>
      <c r="I14" s="231">
        <f t="shared" si="1"/>
        <v>5.0488</v>
      </c>
      <c r="J14" s="175">
        <v>4.5403</v>
      </c>
      <c r="K14" s="194"/>
      <c r="L14" s="231">
        <f t="shared" si="2"/>
        <v>4.5403</v>
      </c>
      <c r="M14" s="175">
        <v>4.4485</v>
      </c>
      <c r="N14" s="194"/>
      <c r="O14" s="231">
        <f t="shared" si="3"/>
        <v>4.4485</v>
      </c>
      <c r="P14" s="210">
        <f t="shared" si="4"/>
        <v>4.4485</v>
      </c>
      <c r="Q14" s="193">
        <f t="shared" si="5"/>
        <v>52.93832246967607</v>
      </c>
      <c r="R14" s="231">
        <f t="shared" si="6"/>
        <v>10</v>
      </c>
    </row>
    <row r="15" spans="2:18" ht="15">
      <c r="B15" s="173">
        <f>'Team list - 2003'!A13</f>
        <v>11</v>
      </c>
      <c r="C15" s="174" t="str">
        <f>'Team list - 2003'!B13</f>
        <v>Auburn University, USA</v>
      </c>
      <c r="D15" s="175">
        <v>4.342</v>
      </c>
      <c r="E15" s="194"/>
      <c r="F15" s="231">
        <f t="shared" si="0"/>
        <v>4.342</v>
      </c>
      <c r="G15" s="175">
        <v>4.1892</v>
      </c>
      <c r="H15" s="194"/>
      <c r="I15" s="231">
        <f t="shared" si="1"/>
        <v>4.1892</v>
      </c>
      <c r="J15" s="175">
        <v>4.1347</v>
      </c>
      <c r="K15" s="194"/>
      <c r="L15" s="231">
        <f t="shared" si="2"/>
        <v>4.1347</v>
      </c>
      <c r="M15" s="175">
        <v>4.1687</v>
      </c>
      <c r="N15" s="194"/>
      <c r="O15" s="231">
        <f t="shared" si="3"/>
        <v>4.1687</v>
      </c>
      <c r="P15" s="210">
        <f t="shared" si="4"/>
        <v>4.1347</v>
      </c>
      <c r="Q15" s="193">
        <f t="shared" si="5"/>
        <v>69.0404997818212</v>
      </c>
      <c r="R15" s="231">
        <f t="shared" si="6"/>
        <v>3</v>
      </c>
    </row>
    <row r="16" spans="2:18" ht="15">
      <c r="B16" s="173">
        <f>'Team list - 2003'!A14</f>
        <v>14</v>
      </c>
      <c r="C16" s="174" t="str">
        <f>'Team list - 2003'!B14</f>
        <v>Curtin University of Technology</v>
      </c>
      <c r="D16" s="175">
        <v>5.357</v>
      </c>
      <c r="E16" s="194"/>
      <c r="F16" s="231">
        <f t="shared" si="0"/>
        <v>5.357</v>
      </c>
      <c r="G16" s="175">
        <v>4.8008</v>
      </c>
      <c r="H16" s="194"/>
      <c r="I16" s="231">
        <f t="shared" si="1"/>
        <v>4.8008</v>
      </c>
      <c r="J16" s="175">
        <v>4.7993</v>
      </c>
      <c r="K16" s="194"/>
      <c r="L16" s="231">
        <f t="shared" si="2"/>
        <v>4.7993</v>
      </c>
      <c r="M16" s="175">
        <v>4.9145</v>
      </c>
      <c r="N16" s="194"/>
      <c r="O16" s="231">
        <f t="shared" si="3"/>
        <v>4.9145</v>
      </c>
      <c r="P16" s="210">
        <f t="shared" si="4"/>
        <v>4.7993</v>
      </c>
      <c r="Q16" s="193">
        <f t="shared" si="5"/>
        <v>37.430266632654515</v>
      </c>
      <c r="R16" s="231">
        <f t="shared" si="6"/>
        <v>15</v>
      </c>
    </row>
    <row r="17" spans="2:18" s="303" customFormat="1" ht="15">
      <c r="B17" s="296">
        <f>'Team list - 2003'!A15</f>
        <v>18</v>
      </c>
      <c r="C17" s="297" t="str">
        <f>'Team list - 2003'!B15</f>
        <v>University of Melbourne</v>
      </c>
      <c r="D17" s="301"/>
      <c r="E17" s="302"/>
      <c r="F17" s="302">
        <f t="shared" si="0"/>
      </c>
      <c r="G17" s="301"/>
      <c r="H17" s="302"/>
      <c r="I17" s="302">
        <f t="shared" si="1"/>
      </c>
      <c r="J17" s="301"/>
      <c r="K17" s="302"/>
      <c r="L17" s="302">
        <f t="shared" si="2"/>
      </c>
      <c r="M17" s="301"/>
      <c r="N17" s="302"/>
      <c r="O17" s="302">
        <f t="shared" si="3"/>
      </c>
      <c r="P17" s="301">
        <f t="shared" si="4"/>
      </c>
      <c r="Q17" s="193">
        <f t="shared" si="5"/>
      </c>
      <c r="R17" s="302">
        <f t="shared" si="6"/>
      </c>
    </row>
    <row r="18" spans="2:18" s="303" customFormat="1" ht="15">
      <c r="B18" s="296">
        <f>'Team list - 2003'!A16</f>
        <v>19</v>
      </c>
      <c r="C18" s="297" t="str">
        <f>'Team list - 2003'!B16</f>
        <v>University of Braunschweig, GERMANY</v>
      </c>
      <c r="D18" s="301"/>
      <c r="E18" s="302"/>
      <c r="F18" s="302">
        <f t="shared" si="0"/>
      </c>
      <c r="G18" s="301"/>
      <c r="H18" s="302"/>
      <c r="I18" s="302">
        <f t="shared" si="1"/>
      </c>
      <c r="J18" s="301"/>
      <c r="K18" s="302"/>
      <c r="L18" s="302">
        <f t="shared" si="2"/>
      </c>
      <c r="M18" s="301"/>
      <c r="N18" s="302"/>
      <c r="O18" s="302">
        <f t="shared" si="3"/>
      </c>
      <c r="P18" s="301">
        <f t="shared" si="4"/>
      </c>
      <c r="Q18" s="193">
        <f t="shared" si="5"/>
      </c>
      <c r="R18" s="302">
        <f t="shared" si="6"/>
      </c>
    </row>
    <row r="19" spans="2:18" ht="15">
      <c r="B19" s="173">
        <f>'Team list - 2003'!A17</f>
        <v>21</v>
      </c>
      <c r="C19" s="174" t="str">
        <f>'Team list - 2003'!B17</f>
        <v>Tokyo Denki University, JAPAN </v>
      </c>
      <c r="D19" s="175">
        <v>4.5895</v>
      </c>
      <c r="E19" s="194"/>
      <c r="F19" s="231">
        <f t="shared" si="0"/>
        <v>4.5895</v>
      </c>
      <c r="G19" s="175">
        <v>4.5902</v>
      </c>
      <c r="H19" s="194"/>
      <c r="I19" s="315">
        <f t="shared" si="1"/>
        <v>4.5902</v>
      </c>
      <c r="J19" s="175">
        <v>4.6787</v>
      </c>
      <c r="K19" s="194"/>
      <c r="L19" s="231">
        <f t="shared" si="2"/>
        <v>4.6787</v>
      </c>
      <c r="M19" s="175">
        <v>4.6509</v>
      </c>
      <c r="N19" s="194"/>
      <c r="O19" s="231">
        <f t="shared" si="3"/>
        <v>4.6509</v>
      </c>
      <c r="P19" s="210">
        <f>IF(D19="","",MIN(F19,I19,L19,O19))</f>
        <v>4.5895</v>
      </c>
      <c r="Q19" s="193">
        <f t="shared" si="5"/>
        <v>46.42009656448778</v>
      </c>
      <c r="R19" s="231">
        <f t="shared" si="6"/>
        <v>14</v>
      </c>
    </row>
    <row r="20" spans="2:18" ht="15">
      <c r="B20" s="173">
        <f>'Team list - 2003'!A18</f>
        <v>23</v>
      </c>
      <c r="C20" s="174" t="str">
        <f>'Team list - 2003'!B18</f>
        <v>Deakin University</v>
      </c>
      <c r="D20" s="175">
        <v>5.2876</v>
      </c>
      <c r="E20" s="194"/>
      <c r="F20" s="231">
        <f t="shared" si="0"/>
        <v>5.2876</v>
      </c>
      <c r="G20" s="175">
        <v>5.3045</v>
      </c>
      <c r="H20" s="194"/>
      <c r="I20" s="315">
        <f t="shared" si="1"/>
        <v>5.3045</v>
      </c>
      <c r="J20" s="175">
        <v>5.1243</v>
      </c>
      <c r="K20" s="194"/>
      <c r="L20" s="231">
        <f t="shared" si="2"/>
        <v>5.1243</v>
      </c>
      <c r="M20" s="175">
        <v>5.1239</v>
      </c>
      <c r="N20" s="194"/>
      <c r="O20" s="231">
        <f t="shared" si="3"/>
        <v>5.1239</v>
      </c>
      <c r="P20" s="210">
        <f>IF(D20="","",MIN(F20,I20,L20,O20))</f>
        <v>5.1239</v>
      </c>
      <c r="Q20" s="193">
        <f t="shared" si="5"/>
        <v>24.971953671995518</v>
      </c>
      <c r="R20" s="231">
        <f t="shared" si="6"/>
        <v>16</v>
      </c>
    </row>
    <row r="21" spans="2:18" ht="15">
      <c r="B21" s="173">
        <f>'Team list - 2003'!A19</f>
        <v>31</v>
      </c>
      <c r="C21" s="174" t="str">
        <f>'Team list - 2003'!B19</f>
        <v>Georgia Institute of Technology, USA</v>
      </c>
      <c r="D21" s="175">
        <v>4.8439</v>
      </c>
      <c r="E21" s="194"/>
      <c r="F21" s="231">
        <f t="shared" si="0"/>
        <v>4.8439</v>
      </c>
      <c r="G21" s="175">
        <v>4.9838</v>
      </c>
      <c r="H21" s="194"/>
      <c r="I21" s="315">
        <f t="shared" si="1"/>
        <v>4.9838</v>
      </c>
      <c r="J21" s="175">
        <v>4.2296</v>
      </c>
      <c r="K21" s="194"/>
      <c r="L21" s="231">
        <f t="shared" si="2"/>
        <v>4.2296</v>
      </c>
      <c r="M21" s="175">
        <v>4.6501</v>
      </c>
      <c r="N21" s="194"/>
      <c r="O21" s="231">
        <f t="shared" si="3"/>
        <v>4.6501</v>
      </c>
      <c r="P21" s="210">
        <f>IF(D21="","",MIN(F21,I21,L21,O21))</f>
        <v>4.2296</v>
      </c>
      <c r="Q21" s="193">
        <f t="shared" si="5"/>
        <v>63.91882290872731</v>
      </c>
      <c r="R21" s="231">
        <f t="shared" si="6"/>
        <v>7</v>
      </c>
    </row>
    <row r="22" spans="2:18" ht="15">
      <c r="B22" s="173">
        <f>'Team list - 2003'!A20</f>
        <v>35</v>
      </c>
      <c r="C22" s="174" t="str">
        <f>'Team list - 2003'!B20</f>
        <v>Chalmers University, SWEDEN </v>
      </c>
      <c r="D22" s="175">
        <v>4.0295</v>
      </c>
      <c r="E22" s="194"/>
      <c r="F22" s="231">
        <f t="shared" si="0"/>
        <v>4.0295</v>
      </c>
      <c r="G22" s="175">
        <v>4.181</v>
      </c>
      <c r="H22" s="194"/>
      <c r="I22" s="315">
        <f t="shared" si="1"/>
        <v>4.181</v>
      </c>
      <c r="J22" s="175">
        <v>4.685</v>
      </c>
      <c r="K22" s="194"/>
      <c r="L22" s="231">
        <f t="shared" si="2"/>
        <v>4.685</v>
      </c>
      <c r="M22" s="175">
        <v>4.9122</v>
      </c>
      <c r="N22" s="194"/>
      <c r="O22" s="231">
        <f t="shared" si="3"/>
        <v>4.9122</v>
      </c>
      <c r="P22" s="210">
        <f>IF(D22="","",MIN(F22,I22,L22,O22))</f>
        <v>4.0295</v>
      </c>
      <c r="Q22" s="193">
        <f t="shared" si="5"/>
        <v>75</v>
      </c>
      <c r="R22" s="231">
        <f t="shared" si="6"/>
        <v>1</v>
      </c>
    </row>
    <row r="23" spans="2:18" ht="15">
      <c r="B23" s="173">
        <f>'Team list - 2003'!A21</f>
        <v>41</v>
      </c>
      <c r="C23" s="174" t="str">
        <f>'Team list - 2003'!B21</f>
        <v>University of Queensland</v>
      </c>
      <c r="D23" s="175">
        <v>5.0782</v>
      </c>
      <c r="E23" s="194"/>
      <c r="F23" s="231">
        <f t="shared" si="0"/>
        <v>5.0782</v>
      </c>
      <c r="G23" s="175">
        <v>5.2404</v>
      </c>
      <c r="H23" s="194"/>
      <c r="I23" s="315">
        <f t="shared" si="1"/>
        <v>5.2404</v>
      </c>
      <c r="J23" s="175">
        <v>4.2826</v>
      </c>
      <c r="K23" s="194"/>
      <c r="L23" s="231">
        <f t="shared" si="2"/>
        <v>4.2826</v>
      </c>
      <c r="M23" s="175">
        <v>4.1456</v>
      </c>
      <c r="N23" s="194"/>
      <c r="O23" s="231">
        <f t="shared" si="3"/>
        <v>4.1456</v>
      </c>
      <c r="P23" s="210">
        <f>IF(D23="","",MIN(F23,I23,L23,O23))</f>
        <v>4.1456</v>
      </c>
      <c r="Q23" s="193">
        <f t="shared" si="5"/>
        <v>68.44031585231217</v>
      </c>
      <c r="R23" s="231">
        <f t="shared" si="6"/>
        <v>4</v>
      </c>
    </row>
    <row r="24" spans="2:18" s="303" customFormat="1" ht="15">
      <c r="B24" s="296">
        <f>'Team list - 2003'!A22</f>
        <v>44</v>
      </c>
      <c r="C24" s="297" t="str">
        <f>'Team list - 2003'!B22</f>
        <v>University of Newcastle</v>
      </c>
      <c r="D24" s="301"/>
      <c r="E24" s="302"/>
      <c r="F24" s="302">
        <f t="shared" si="0"/>
      </c>
      <c r="G24" s="301"/>
      <c r="H24" s="302"/>
      <c r="I24" s="302">
        <f t="shared" si="1"/>
      </c>
      <c r="J24" s="301"/>
      <c r="K24" s="302"/>
      <c r="L24" s="302">
        <f t="shared" si="2"/>
      </c>
      <c r="M24" s="301"/>
      <c r="N24" s="302"/>
      <c r="O24" s="302">
        <f t="shared" si="3"/>
      </c>
      <c r="P24" s="301">
        <f t="shared" si="4"/>
      </c>
      <c r="Q24" s="193">
        <f t="shared" si="5"/>
      </c>
      <c r="R24" s="302">
        <f t="shared" si="6"/>
      </c>
    </row>
    <row r="25" spans="2:18" ht="15">
      <c r="B25" s="173">
        <f>'Team list - 2003'!A23</f>
        <v>45</v>
      </c>
      <c r="C25" s="174" t="str">
        <f>'Team list - 2003'!B23</f>
        <v>RMIT University</v>
      </c>
      <c r="D25" s="175">
        <v>4.6576</v>
      </c>
      <c r="E25" s="194"/>
      <c r="F25" s="231">
        <f t="shared" si="0"/>
        <v>4.6576</v>
      </c>
      <c r="G25" s="175">
        <v>4.9513</v>
      </c>
      <c r="H25" s="194"/>
      <c r="I25" s="315">
        <f t="shared" si="1"/>
        <v>4.9513</v>
      </c>
      <c r="J25" s="175">
        <v>4.7607</v>
      </c>
      <c r="K25" s="194"/>
      <c r="L25" s="231">
        <f t="shared" si="2"/>
        <v>4.7607</v>
      </c>
      <c r="M25" s="175">
        <v>4.5666</v>
      </c>
      <c r="N25" s="194"/>
      <c r="O25" s="231">
        <f t="shared" si="3"/>
        <v>4.5666</v>
      </c>
      <c r="P25" s="210">
        <f t="shared" si="4"/>
        <v>4.5666</v>
      </c>
      <c r="Q25" s="193">
        <f t="shared" si="5"/>
        <v>47.45135235515837</v>
      </c>
      <c r="R25" s="231">
        <f t="shared" si="6"/>
        <v>12</v>
      </c>
    </row>
    <row r="26" spans="2:18" ht="15">
      <c r="B26" s="173">
        <f>'Team list - 2003'!A24</f>
        <v>63</v>
      </c>
      <c r="C26" s="174" t="str">
        <f>'Team list - 2003'!B24</f>
        <v>University of NSW</v>
      </c>
      <c r="D26" s="175">
        <v>6.6703</v>
      </c>
      <c r="E26" s="194"/>
      <c r="F26" s="231">
        <f t="shared" si="0"/>
        <v>6.6703</v>
      </c>
      <c r="G26" s="175">
        <v>4.35</v>
      </c>
      <c r="H26" s="194"/>
      <c r="I26" s="315">
        <f t="shared" si="1"/>
        <v>4.35</v>
      </c>
      <c r="J26" s="175">
        <v>5.0461</v>
      </c>
      <c r="K26" s="194"/>
      <c r="L26" s="231">
        <f t="shared" si="2"/>
        <v>5.0461</v>
      </c>
      <c r="M26" s="175"/>
      <c r="N26" s="194"/>
      <c r="O26" s="231">
        <f t="shared" si="3"/>
      </c>
      <c r="P26" s="210">
        <f t="shared" si="4"/>
        <v>4.35</v>
      </c>
      <c r="Q26" s="193">
        <f t="shared" si="5"/>
        <v>57.74253977219244</v>
      </c>
      <c r="R26" s="231">
        <f t="shared" si="6"/>
        <v>9</v>
      </c>
    </row>
    <row r="27" spans="2:18" ht="15.75" thickBot="1">
      <c r="B27" s="179">
        <f>'Team list - 2003'!A25</f>
        <v>66</v>
      </c>
      <c r="C27" s="180" t="str">
        <f>'Team list - 2003'!B25</f>
        <v>Monash University</v>
      </c>
      <c r="D27" s="181">
        <v>4.7318</v>
      </c>
      <c r="E27" s="201"/>
      <c r="F27" s="233">
        <f t="shared" si="0"/>
        <v>4.7318</v>
      </c>
      <c r="G27" s="181">
        <v>4.4985</v>
      </c>
      <c r="H27" s="201"/>
      <c r="I27" s="315">
        <f t="shared" si="1"/>
        <v>4.4985</v>
      </c>
      <c r="J27" s="181">
        <v>4.948</v>
      </c>
      <c r="K27" s="201"/>
      <c r="L27" s="233">
        <f t="shared" si="2"/>
        <v>4.948</v>
      </c>
      <c r="M27" s="181">
        <v>4.5823</v>
      </c>
      <c r="N27" s="201"/>
      <c r="O27" s="233">
        <f t="shared" si="3"/>
        <v>4.5823</v>
      </c>
      <c r="P27" s="221">
        <f t="shared" si="4"/>
        <v>4.4985</v>
      </c>
      <c r="Q27" s="200">
        <f t="shared" si="5"/>
        <v>50.58013705469052</v>
      </c>
      <c r="R27" s="231">
        <f t="shared" si="6"/>
        <v>11</v>
      </c>
    </row>
    <row r="28" spans="2:18" ht="15.75" thickBot="1">
      <c r="B28" s="74"/>
      <c r="C28" s="7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7"/>
      <c r="Q28" s="77"/>
      <c r="R28" s="77"/>
    </row>
    <row r="29" spans="3:16" ht="13.5" thickBot="1">
      <c r="C29" s="304" t="s">
        <v>145</v>
      </c>
      <c r="O29" s="80" t="s">
        <v>103</v>
      </c>
      <c r="P29" s="148">
        <v>5.8</v>
      </c>
    </row>
    <row r="30" spans="13:16" ht="13.5" thickBot="1">
      <c r="M30" s="80"/>
      <c r="N30" s="80"/>
      <c r="O30" s="80" t="s">
        <v>20</v>
      </c>
      <c r="P30" s="147">
        <f>MIN(P7:P27)</f>
        <v>4.0295</v>
      </c>
    </row>
    <row r="34" spans="3:9" ht="41.25" thickBot="1">
      <c r="C34" s="305" t="s">
        <v>146</v>
      </c>
      <c r="D34" s="55" t="s">
        <v>84</v>
      </c>
      <c r="E34" s="55" t="s">
        <v>85</v>
      </c>
      <c r="F34" s="55" t="s">
        <v>140</v>
      </c>
      <c r="G34" s="55" t="s">
        <v>141</v>
      </c>
      <c r="H34" s="293" t="s">
        <v>143</v>
      </c>
      <c r="I34" s="293" t="s">
        <v>144</v>
      </c>
    </row>
    <row r="35" spans="2:12" ht="15">
      <c r="B35" s="169">
        <v>1</v>
      </c>
      <c r="C35" s="170" t="s">
        <v>50</v>
      </c>
      <c r="D35" s="280">
        <v>4.2048</v>
      </c>
      <c r="E35" s="281">
        <v>4.1743</v>
      </c>
      <c r="F35" s="281">
        <v>4.2378</v>
      </c>
      <c r="G35" s="282">
        <v>4.1244</v>
      </c>
      <c r="H35" s="55">
        <f aca="true" t="shared" si="7" ref="H35:H55">MIN(D35:G35)</f>
        <v>4.1244</v>
      </c>
      <c r="I35" s="55">
        <f>RANK(H35,H$35:H$55,1)</f>
        <v>2</v>
      </c>
      <c r="L35" s="121" t="s">
        <v>162</v>
      </c>
    </row>
    <row r="36" spans="2:16" ht="15">
      <c r="B36" s="173">
        <v>2</v>
      </c>
      <c r="C36" s="174" t="s">
        <v>49</v>
      </c>
      <c r="D36" s="283">
        <v>4.3055</v>
      </c>
      <c r="E36" s="284">
        <v>4.3988</v>
      </c>
      <c r="F36" s="284">
        <v>4.6875</v>
      </c>
      <c r="G36" s="285"/>
      <c r="H36" s="55">
        <f t="shared" si="7"/>
        <v>4.3055</v>
      </c>
      <c r="I36" s="55">
        <f aca="true" t="shared" si="8" ref="I36:I55">RANK(H36,H$35:H$55,1)</f>
        <v>7</v>
      </c>
      <c r="L36" s="316"/>
      <c r="M36" s="316" t="s">
        <v>148</v>
      </c>
      <c r="N36" s="317" t="s">
        <v>149</v>
      </c>
      <c r="O36" s="317" t="s">
        <v>151</v>
      </c>
      <c r="P36" s="317" t="s">
        <v>155</v>
      </c>
    </row>
    <row r="37" spans="2:16" ht="15">
      <c r="B37" s="173">
        <v>3</v>
      </c>
      <c r="C37" s="174" t="s">
        <v>48</v>
      </c>
      <c r="D37" s="283">
        <v>4.5866</v>
      </c>
      <c r="E37" s="284">
        <v>5.3492</v>
      </c>
      <c r="F37" s="284"/>
      <c r="G37" s="285"/>
      <c r="H37" s="55">
        <f t="shared" si="7"/>
        <v>4.5866</v>
      </c>
      <c r="I37" s="55">
        <f t="shared" si="8"/>
        <v>12</v>
      </c>
      <c r="L37" s="317">
        <v>1</v>
      </c>
      <c r="M37" s="318">
        <v>4.2049</v>
      </c>
      <c r="N37" s="318">
        <v>4.1742</v>
      </c>
      <c r="O37" s="318">
        <v>4.2378</v>
      </c>
      <c r="P37" s="318" t="s">
        <v>156</v>
      </c>
    </row>
    <row r="38" spans="2:16" ht="15">
      <c r="B38" s="173">
        <v>4</v>
      </c>
      <c r="C38" s="174" t="s">
        <v>107</v>
      </c>
      <c r="D38" s="283">
        <v>4.1813</v>
      </c>
      <c r="E38" s="284">
        <v>4.212</v>
      </c>
      <c r="F38" s="284">
        <v>4.2845</v>
      </c>
      <c r="G38" s="285">
        <v>4.2943</v>
      </c>
      <c r="H38" s="55">
        <f t="shared" si="7"/>
        <v>4.1813</v>
      </c>
      <c r="I38" s="55">
        <f t="shared" si="8"/>
        <v>5</v>
      </c>
      <c r="L38" s="317">
        <v>2</v>
      </c>
      <c r="M38" s="318">
        <v>4.3055</v>
      </c>
      <c r="N38" s="318">
        <v>4.6591</v>
      </c>
      <c r="O38" s="318">
        <v>4.6875</v>
      </c>
      <c r="P38" s="318">
        <v>4.3989</v>
      </c>
    </row>
    <row r="39" spans="2:16" ht="15">
      <c r="B39" s="173">
        <v>5</v>
      </c>
      <c r="C39" s="174" t="s">
        <v>108</v>
      </c>
      <c r="D39" s="283">
        <v>4.2484</v>
      </c>
      <c r="E39" s="284">
        <v>4.8065</v>
      </c>
      <c r="F39" s="284">
        <v>4.2945</v>
      </c>
      <c r="G39" s="285">
        <v>4.2197</v>
      </c>
      <c r="H39" s="55">
        <f t="shared" si="7"/>
        <v>4.2197</v>
      </c>
      <c r="I39" s="55">
        <f t="shared" si="8"/>
        <v>6</v>
      </c>
      <c r="L39" s="317">
        <v>3</v>
      </c>
      <c r="M39" s="318">
        <v>4.5866</v>
      </c>
      <c r="N39" s="318">
        <v>5.3492</v>
      </c>
      <c r="O39" s="317"/>
      <c r="P39" s="317"/>
    </row>
    <row r="40" spans="2:16" ht="30">
      <c r="B40" s="173">
        <v>6</v>
      </c>
      <c r="C40" s="174" t="s">
        <v>109</v>
      </c>
      <c r="D40" s="283"/>
      <c r="E40" s="284"/>
      <c r="F40" s="284"/>
      <c r="G40" s="285"/>
      <c r="H40" s="55"/>
      <c r="I40" s="55" t="e">
        <f t="shared" si="8"/>
        <v>#N/A</v>
      </c>
      <c r="L40" s="317">
        <v>4</v>
      </c>
      <c r="M40" s="318">
        <v>4.1808</v>
      </c>
      <c r="N40" s="318">
        <v>4.2119</v>
      </c>
      <c r="O40" s="318">
        <v>4.2845</v>
      </c>
      <c r="P40" s="318">
        <v>4.2944</v>
      </c>
    </row>
    <row r="41" spans="2:16" ht="15">
      <c r="B41" s="173">
        <v>8</v>
      </c>
      <c r="C41" s="174" t="s">
        <v>87</v>
      </c>
      <c r="D41" s="283"/>
      <c r="E41" s="284"/>
      <c r="F41" s="284"/>
      <c r="G41" s="285"/>
      <c r="H41" s="55"/>
      <c r="I41" s="55" t="e">
        <f t="shared" si="8"/>
        <v>#N/A</v>
      </c>
      <c r="L41" s="317">
        <v>5</v>
      </c>
      <c r="M41" s="318">
        <v>4.2484</v>
      </c>
      <c r="N41" s="318">
        <v>4.8066</v>
      </c>
      <c r="O41" s="318">
        <v>4.2945</v>
      </c>
      <c r="P41" s="318" t="s">
        <v>157</v>
      </c>
    </row>
    <row r="42" spans="2:16" ht="15">
      <c r="B42" s="173">
        <v>9</v>
      </c>
      <c r="C42" s="174" t="s">
        <v>110</v>
      </c>
      <c r="D42" s="283">
        <v>4.8233</v>
      </c>
      <c r="E42" s="284">
        <v>5.0488</v>
      </c>
      <c r="F42" s="284">
        <v>4.5403</v>
      </c>
      <c r="G42" s="285">
        <v>4.4485</v>
      </c>
      <c r="H42" s="55">
        <f t="shared" si="7"/>
        <v>4.4485</v>
      </c>
      <c r="I42" s="55">
        <f t="shared" si="8"/>
        <v>9</v>
      </c>
      <c r="L42" s="317">
        <v>9</v>
      </c>
      <c r="M42" s="318">
        <v>4.8233</v>
      </c>
      <c r="N42" s="318">
        <v>5.0488</v>
      </c>
      <c r="O42" s="318">
        <v>4.5403</v>
      </c>
      <c r="P42" s="318" t="s">
        <v>158</v>
      </c>
    </row>
    <row r="43" spans="2:16" ht="15">
      <c r="B43" s="173">
        <v>11</v>
      </c>
      <c r="C43" s="174" t="s">
        <v>111</v>
      </c>
      <c r="D43" s="283">
        <v>4.3421</v>
      </c>
      <c r="E43" s="284">
        <v>4.1893</v>
      </c>
      <c r="F43" s="284">
        <v>4.1346</v>
      </c>
      <c r="G43" s="285">
        <v>4.1687</v>
      </c>
      <c r="H43" s="55">
        <f t="shared" si="7"/>
        <v>4.1346</v>
      </c>
      <c r="I43" s="55">
        <f t="shared" si="8"/>
        <v>3</v>
      </c>
      <c r="L43" s="317">
        <v>11</v>
      </c>
      <c r="M43" s="318">
        <v>4.342</v>
      </c>
      <c r="N43" s="318">
        <v>4.1892</v>
      </c>
      <c r="O43" s="318" t="s">
        <v>152</v>
      </c>
      <c r="P43" s="318">
        <v>4.1687</v>
      </c>
    </row>
    <row r="44" spans="2:16" ht="15">
      <c r="B44" s="173">
        <v>14</v>
      </c>
      <c r="C44" s="174" t="s">
        <v>112</v>
      </c>
      <c r="D44" s="283">
        <v>5.357</v>
      </c>
      <c r="E44" s="284">
        <v>4.8009</v>
      </c>
      <c r="F44" s="284">
        <v>4.7993</v>
      </c>
      <c r="G44" s="285">
        <v>4.9145</v>
      </c>
      <c r="H44" s="55">
        <f t="shared" si="7"/>
        <v>4.7993</v>
      </c>
      <c r="I44" s="55">
        <f t="shared" si="8"/>
        <v>15</v>
      </c>
      <c r="L44" s="317">
        <v>14</v>
      </c>
      <c r="M44" s="318">
        <v>5.357</v>
      </c>
      <c r="N44" s="318">
        <v>4.8008</v>
      </c>
      <c r="O44" s="318" t="s">
        <v>153</v>
      </c>
      <c r="P44" s="318">
        <v>4.9145</v>
      </c>
    </row>
    <row r="45" spans="2:16" ht="15">
      <c r="B45" s="173">
        <v>18</v>
      </c>
      <c r="C45" s="174" t="s">
        <v>86</v>
      </c>
      <c r="D45" s="283"/>
      <c r="E45" s="284"/>
      <c r="F45" s="284"/>
      <c r="G45" s="285"/>
      <c r="H45" s="55"/>
      <c r="I45" s="55" t="e">
        <f t="shared" si="8"/>
        <v>#N/A</v>
      </c>
      <c r="L45" s="317">
        <v>21</v>
      </c>
      <c r="M45" s="318">
        <v>4.5895</v>
      </c>
      <c r="N45" s="318">
        <v>4.5902</v>
      </c>
      <c r="O45" s="318">
        <v>4.6787</v>
      </c>
      <c r="P45" s="318">
        <v>4.6509</v>
      </c>
    </row>
    <row r="46" spans="2:16" ht="15">
      <c r="B46" s="173">
        <v>19</v>
      </c>
      <c r="C46" s="174" t="s">
        <v>113</v>
      </c>
      <c r="D46" s="283"/>
      <c r="E46" s="284"/>
      <c r="F46" s="284"/>
      <c r="G46" s="285"/>
      <c r="H46" s="55"/>
      <c r="I46" s="55" t="e">
        <f t="shared" si="8"/>
        <v>#N/A</v>
      </c>
      <c r="L46" s="317">
        <v>23</v>
      </c>
      <c r="M46" s="318">
        <v>5.2876</v>
      </c>
      <c r="N46" s="318">
        <v>5.3045</v>
      </c>
      <c r="O46" s="318">
        <v>5.1243</v>
      </c>
      <c r="P46" s="318" t="s">
        <v>159</v>
      </c>
    </row>
    <row r="47" spans="2:16" ht="15">
      <c r="B47" s="173">
        <v>21</v>
      </c>
      <c r="C47" s="174" t="s">
        <v>114</v>
      </c>
      <c r="D47" s="283">
        <v>4.5894</v>
      </c>
      <c r="E47" s="284">
        <v>4.5901</v>
      </c>
      <c r="F47" s="284">
        <v>4.6786</v>
      </c>
      <c r="G47" s="285">
        <v>4.6509</v>
      </c>
      <c r="H47" s="55">
        <f t="shared" si="7"/>
        <v>4.5894</v>
      </c>
      <c r="I47" s="55">
        <f t="shared" si="8"/>
        <v>13</v>
      </c>
      <c r="L47" s="317">
        <v>31</v>
      </c>
      <c r="M47" s="318">
        <v>4.8439</v>
      </c>
      <c r="N47" s="318">
        <v>4.9838</v>
      </c>
      <c r="O47" s="318" t="s">
        <v>154</v>
      </c>
      <c r="P47" s="318">
        <v>4.6501</v>
      </c>
    </row>
    <row r="48" spans="2:16" ht="15">
      <c r="B48" s="173">
        <v>23</v>
      </c>
      <c r="C48" s="174" t="s">
        <v>45</v>
      </c>
      <c r="D48" s="283">
        <v>5.2877</v>
      </c>
      <c r="E48" s="284">
        <v>5.3045</v>
      </c>
      <c r="F48" s="284">
        <v>5.1238</v>
      </c>
      <c r="G48" s="285">
        <v>5.1243</v>
      </c>
      <c r="H48" s="55">
        <f t="shared" si="7"/>
        <v>5.1238</v>
      </c>
      <c r="I48" s="55">
        <f t="shared" si="8"/>
        <v>16</v>
      </c>
      <c r="L48" s="317">
        <v>35</v>
      </c>
      <c r="M48" s="318">
        <v>4.0295</v>
      </c>
      <c r="N48" s="318">
        <v>4.181</v>
      </c>
      <c r="O48" s="318">
        <v>4.685</v>
      </c>
      <c r="P48" s="318">
        <v>4.9122</v>
      </c>
    </row>
    <row r="49" spans="2:16" ht="15">
      <c r="B49" s="173">
        <v>31</v>
      </c>
      <c r="C49" s="174" t="s">
        <v>115</v>
      </c>
      <c r="D49" s="283">
        <v>4.844</v>
      </c>
      <c r="E49" s="284">
        <v>4.9837</v>
      </c>
      <c r="F49" s="284">
        <v>7.399</v>
      </c>
      <c r="G49" s="285">
        <v>4.6501</v>
      </c>
      <c r="H49" s="55">
        <f t="shared" si="7"/>
        <v>4.6501</v>
      </c>
      <c r="I49" s="55">
        <f t="shared" si="8"/>
        <v>14</v>
      </c>
      <c r="L49" s="317">
        <v>41</v>
      </c>
      <c r="M49" s="318">
        <v>5.0782</v>
      </c>
      <c r="N49" s="318">
        <v>5.2404</v>
      </c>
      <c r="O49" s="318">
        <v>4.2826</v>
      </c>
      <c r="P49" s="318" t="s">
        <v>160</v>
      </c>
    </row>
    <row r="50" spans="2:16" ht="15">
      <c r="B50" s="173">
        <v>35</v>
      </c>
      <c r="C50" s="174" t="s">
        <v>116</v>
      </c>
      <c r="D50" s="283">
        <v>4.0296</v>
      </c>
      <c r="E50" s="284">
        <v>4.181</v>
      </c>
      <c r="F50" s="284">
        <v>4.6851</v>
      </c>
      <c r="G50" s="285">
        <v>4.9122</v>
      </c>
      <c r="H50" s="55">
        <f t="shared" si="7"/>
        <v>4.0296</v>
      </c>
      <c r="I50" s="55">
        <f t="shared" si="8"/>
        <v>1</v>
      </c>
      <c r="L50" s="317">
        <v>45</v>
      </c>
      <c r="M50" s="318">
        <v>4.6576</v>
      </c>
      <c r="N50" s="318">
        <v>4.9513</v>
      </c>
      <c r="O50" s="318">
        <v>4.7607</v>
      </c>
      <c r="P50" s="318" t="s">
        <v>161</v>
      </c>
    </row>
    <row r="51" spans="2:16" ht="15">
      <c r="B51" s="173">
        <v>41</v>
      </c>
      <c r="C51" s="174" t="s">
        <v>47</v>
      </c>
      <c r="D51" s="283">
        <v>5.0784</v>
      </c>
      <c r="E51" s="284">
        <v>5.2403</v>
      </c>
      <c r="F51" s="284">
        <v>4.2827</v>
      </c>
      <c r="G51" s="285">
        <v>4.1456</v>
      </c>
      <c r="H51" s="55">
        <f t="shared" si="7"/>
        <v>4.1456</v>
      </c>
      <c r="I51" s="55">
        <f t="shared" si="8"/>
        <v>4</v>
      </c>
      <c r="L51" s="317">
        <v>63</v>
      </c>
      <c r="M51" s="318">
        <v>6.6703</v>
      </c>
      <c r="N51" s="318"/>
      <c r="O51" s="318">
        <v>5.0461</v>
      </c>
      <c r="P51" s="318"/>
    </row>
    <row r="52" spans="2:16" ht="15">
      <c r="B52" s="173">
        <v>44</v>
      </c>
      <c r="C52" s="174" t="s">
        <v>117</v>
      </c>
      <c r="E52" s="284"/>
      <c r="F52" s="284"/>
      <c r="G52" s="285"/>
      <c r="H52" s="55"/>
      <c r="I52" s="55" t="e">
        <f t="shared" si="8"/>
        <v>#N/A</v>
      </c>
      <c r="L52" s="317">
        <v>66</v>
      </c>
      <c r="M52" s="318">
        <v>4.7318</v>
      </c>
      <c r="N52" s="318" t="s">
        <v>150</v>
      </c>
      <c r="O52" s="318">
        <v>4.948</v>
      </c>
      <c r="P52" s="318">
        <v>4.5823</v>
      </c>
    </row>
    <row r="53" spans="2:9" ht="15">
      <c r="B53" s="173">
        <v>45</v>
      </c>
      <c r="C53" s="174" t="s">
        <v>118</v>
      </c>
      <c r="D53" s="295">
        <v>4.6577</v>
      </c>
      <c r="E53" s="294">
        <v>4.9513</v>
      </c>
      <c r="F53" s="284">
        <v>4.7607</v>
      </c>
      <c r="G53" s="285">
        <v>4.5666</v>
      </c>
      <c r="H53" s="55">
        <f t="shared" si="7"/>
        <v>4.5666</v>
      </c>
      <c r="I53" s="55">
        <f t="shared" si="8"/>
        <v>11</v>
      </c>
    </row>
    <row r="54" spans="2:9" ht="15">
      <c r="B54" s="173">
        <v>63</v>
      </c>
      <c r="C54" s="174" t="s">
        <v>119</v>
      </c>
      <c r="D54" s="283">
        <v>6.6704</v>
      </c>
      <c r="E54" s="284">
        <v>4.3499</v>
      </c>
      <c r="F54" s="284">
        <v>5.046</v>
      </c>
      <c r="G54" s="285"/>
      <c r="H54" s="55">
        <f t="shared" si="7"/>
        <v>4.3499</v>
      </c>
      <c r="I54" s="55">
        <f t="shared" si="8"/>
        <v>8</v>
      </c>
    </row>
    <row r="55" spans="2:9" ht="15.75" thickBot="1">
      <c r="B55" s="179">
        <v>66</v>
      </c>
      <c r="C55" s="180" t="s">
        <v>46</v>
      </c>
      <c r="D55" s="286">
        <v>4.7318</v>
      </c>
      <c r="E55" s="287">
        <v>4.4985</v>
      </c>
      <c r="F55" s="287">
        <v>4.5824</v>
      </c>
      <c r="G55" s="288"/>
      <c r="H55" s="55">
        <f t="shared" si="7"/>
        <v>4.4985</v>
      </c>
      <c r="I55" s="55">
        <f t="shared" si="8"/>
        <v>10</v>
      </c>
    </row>
  </sheetData>
  <mergeCells count="3">
    <mergeCell ref="J5:O5"/>
    <mergeCell ref="D5:I5"/>
    <mergeCell ref="D4:O4"/>
  </mergeCells>
  <conditionalFormatting sqref="R7:R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2" right="0.23" top="0.63" bottom="0.67" header="0.5" footer="0.5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14"/>
  <sheetViews>
    <sheetView zoomScale="75" zoomScaleNormal="75" workbookViewId="0" topLeftCell="C22">
      <selection activeCell="N42" sqref="N42"/>
    </sheetView>
  </sheetViews>
  <sheetFormatPr defaultColWidth="9.140625" defaultRowHeight="12.75"/>
  <cols>
    <col min="1" max="1" width="0" style="0" hidden="1" customWidth="1"/>
    <col min="2" max="2" width="11.57421875" style="0" customWidth="1"/>
    <col min="3" max="3" width="46.7109375" style="0" customWidth="1"/>
    <col min="4" max="4" width="10.421875" style="0" customWidth="1"/>
    <col min="5" max="5" width="14.8515625" style="0" customWidth="1"/>
    <col min="12" max="12" width="10.421875" style="0" customWidth="1"/>
    <col min="20" max="20" width="10.8515625" style="0" customWidth="1"/>
    <col min="21" max="21" width="10.28125" style="0" bestFit="1" customWidth="1"/>
    <col min="22" max="22" width="10.57421875" style="0" bestFit="1" customWidth="1"/>
    <col min="23" max="23" width="13.00390625" style="0" customWidth="1"/>
  </cols>
  <sheetData>
    <row r="1" spans="2:10" ht="45">
      <c r="B1" s="84" t="s">
        <v>126</v>
      </c>
      <c r="C1" s="84"/>
      <c r="D1" s="84"/>
      <c r="E1" s="84"/>
      <c r="F1" s="84"/>
      <c r="G1" s="84"/>
      <c r="H1" s="84"/>
      <c r="I1" s="84"/>
      <c r="J1" s="84"/>
    </row>
    <row r="2" ht="13.5" thickBot="1"/>
    <row r="3" spans="2:12" ht="12.75">
      <c r="B3" s="40"/>
      <c r="C3" s="41"/>
      <c r="D3" s="395" t="s">
        <v>10</v>
      </c>
      <c r="E3" s="396"/>
      <c r="F3" s="396"/>
      <c r="G3" s="397"/>
      <c r="H3" s="395" t="s">
        <v>10</v>
      </c>
      <c r="I3" s="396"/>
      <c r="J3" s="396"/>
      <c r="K3" s="397"/>
      <c r="L3" s="44"/>
    </row>
    <row r="4" spans="2:12" ht="16.5" thickBot="1">
      <c r="B4" s="8" t="s">
        <v>6</v>
      </c>
      <c r="C4" s="9" t="s">
        <v>93</v>
      </c>
      <c r="D4" s="398"/>
      <c r="E4" s="399"/>
      <c r="F4" s="399"/>
      <c r="G4" s="367"/>
      <c r="H4" s="398"/>
      <c r="I4" s="399"/>
      <c r="J4" s="399"/>
      <c r="K4" s="367"/>
      <c r="L4" s="46" t="s">
        <v>23</v>
      </c>
    </row>
    <row r="5" spans="2:12" ht="16.5" thickBot="1">
      <c r="B5" s="8" t="s">
        <v>7</v>
      </c>
      <c r="C5" s="34"/>
      <c r="D5" s="392" t="s">
        <v>84</v>
      </c>
      <c r="E5" s="393"/>
      <c r="F5" s="393"/>
      <c r="G5" s="394"/>
      <c r="H5" s="392" t="s">
        <v>85</v>
      </c>
      <c r="I5" s="393"/>
      <c r="J5" s="393"/>
      <c r="K5" s="394"/>
      <c r="L5" s="46" t="s">
        <v>12</v>
      </c>
    </row>
    <row r="6" spans="2:44" ht="15.75" thickBot="1">
      <c r="B6" s="30"/>
      <c r="C6" s="36"/>
      <c r="D6" s="31" t="s">
        <v>28</v>
      </c>
      <c r="E6" s="32" t="s">
        <v>13</v>
      </c>
      <c r="F6" s="32" t="s">
        <v>29</v>
      </c>
      <c r="G6" s="28" t="s">
        <v>12</v>
      </c>
      <c r="H6" s="31" t="s">
        <v>30</v>
      </c>
      <c r="I6" s="31" t="s">
        <v>13</v>
      </c>
      <c r="J6" s="31" t="s">
        <v>29</v>
      </c>
      <c r="K6" s="25" t="s">
        <v>12</v>
      </c>
      <c r="L6" s="150" t="s">
        <v>105</v>
      </c>
      <c r="AA6" t="s">
        <v>148</v>
      </c>
      <c r="AB6" t="s">
        <v>149</v>
      </c>
      <c r="AC6" t="s">
        <v>151</v>
      </c>
      <c r="AD6" t="s">
        <v>155</v>
      </c>
      <c r="AL6" t="s">
        <v>148</v>
      </c>
      <c r="AN6" t="s">
        <v>149</v>
      </c>
      <c r="AP6" t="s">
        <v>151</v>
      </c>
      <c r="AR6" t="s">
        <v>155</v>
      </c>
    </row>
    <row r="7" spans="2:40" ht="15">
      <c r="B7" s="169">
        <f>'Team list - 2003'!A5</f>
        <v>1</v>
      </c>
      <c r="C7" s="170" t="str">
        <f>'Team list - 2003'!B5</f>
        <v>University of Wollongong</v>
      </c>
      <c r="D7" s="190">
        <v>52.3617</v>
      </c>
      <c r="E7" s="236"/>
      <c r="F7" s="236"/>
      <c r="G7" s="237">
        <f aca="true" t="shared" si="0" ref="G7:G26">IF((D7+(F7*20)+(E7*2))&lt;0.5,"",(D7+(F7*20)+(E7*2)))</f>
        <v>52.3617</v>
      </c>
      <c r="H7" s="238">
        <v>49.4632</v>
      </c>
      <c r="I7" s="190"/>
      <c r="J7" s="236"/>
      <c r="K7" s="237">
        <f>IF((H7+(J7*20)+(I7*2))&lt;0.5,"",(H7+(J7*20)+(I7*2)))</f>
        <v>49.4632</v>
      </c>
      <c r="L7" s="205">
        <f>IF(MIN(K7,G7)=0,"",MIN(K7,G7))</f>
        <v>49.4632</v>
      </c>
      <c r="Q7">
        <v>1</v>
      </c>
      <c r="T7" t="s">
        <v>50</v>
      </c>
      <c r="W7">
        <v>52.3617</v>
      </c>
      <c r="X7">
        <v>49.4632</v>
      </c>
      <c r="Y7">
        <v>73.299</v>
      </c>
      <c r="Z7">
        <v>48.7095</v>
      </c>
      <c r="AB7">
        <v>1</v>
      </c>
      <c r="AD7" t="s">
        <v>50</v>
      </c>
      <c r="AH7">
        <v>52.3617</v>
      </c>
      <c r="AJ7">
        <v>49.4632</v>
      </c>
      <c r="AL7">
        <v>73.299</v>
      </c>
      <c r="AN7">
        <v>48.7095</v>
      </c>
    </row>
    <row r="8" spans="2:40" ht="15">
      <c r="B8" s="173">
        <f>'Team list - 2003'!A6</f>
        <v>2</v>
      </c>
      <c r="C8" s="207" t="str">
        <f>'Team list - 2003'!B6</f>
        <v>University of Western Australia</v>
      </c>
      <c r="D8" s="194">
        <v>90.8964</v>
      </c>
      <c r="E8" s="239">
        <v>3</v>
      </c>
      <c r="F8" s="239"/>
      <c r="G8" s="240">
        <f t="shared" si="0"/>
        <v>96.8964</v>
      </c>
      <c r="H8" s="241">
        <v>53.4522</v>
      </c>
      <c r="I8" s="194"/>
      <c r="J8" s="239"/>
      <c r="K8" s="240">
        <f aca="true" t="shared" si="1" ref="K8:K27">IF((H8+(J8*20)+(I8*2))&lt;0.5,"",(H8+(J8*20)+(I8*2)))</f>
        <v>53.4522</v>
      </c>
      <c r="L8" s="210">
        <f aca="true" t="shared" si="2" ref="L8:L27">IF(MIN(K8,G8)=0,"",MIN(K8,G8))</f>
        <v>53.4522</v>
      </c>
      <c r="Q8">
        <v>2</v>
      </c>
      <c r="T8" t="s">
        <v>49</v>
      </c>
      <c r="W8">
        <v>90.8964</v>
      </c>
      <c r="X8">
        <v>53.4522</v>
      </c>
      <c r="Y8">
        <v>51.7764</v>
      </c>
      <c r="Z8">
        <v>55.7131</v>
      </c>
      <c r="AB8">
        <v>2</v>
      </c>
      <c r="AD8" t="s">
        <v>49</v>
      </c>
      <c r="AH8">
        <v>90.8964</v>
      </c>
      <c r="AJ8">
        <v>53.4522</v>
      </c>
      <c r="AL8">
        <v>51.7764</v>
      </c>
      <c r="AN8">
        <v>55.7131</v>
      </c>
    </row>
    <row r="9" spans="2:40" ht="15">
      <c r="B9" s="173">
        <f>'Team list - 2003'!A7</f>
        <v>3</v>
      </c>
      <c r="C9" s="207" t="str">
        <f>'Team list - 2003'!B7</f>
        <v>University of Sydney</v>
      </c>
      <c r="D9" s="194">
        <v>61.8223</v>
      </c>
      <c r="E9" s="239">
        <v>3</v>
      </c>
      <c r="F9" s="239"/>
      <c r="G9" s="240">
        <f t="shared" si="0"/>
        <v>67.8223</v>
      </c>
      <c r="H9" s="241">
        <v>59.656</v>
      </c>
      <c r="I9" s="194">
        <v>1</v>
      </c>
      <c r="J9" s="239"/>
      <c r="K9" s="240">
        <f t="shared" si="1"/>
        <v>61.656</v>
      </c>
      <c r="L9" s="210">
        <f t="shared" si="2"/>
        <v>61.656</v>
      </c>
      <c r="Q9">
        <v>3</v>
      </c>
      <c r="T9" t="s">
        <v>163</v>
      </c>
      <c r="W9">
        <v>61.8223</v>
      </c>
      <c r="X9">
        <v>59.656</v>
      </c>
      <c r="Y9">
        <v>56.2689</v>
      </c>
      <c r="Z9" t="s">
        <v>172</v>
      </c>
      <c r="AB9">
        <v>3</v>
      </c>
      <c r="AD9" t="s">
        <v>163</v>
      </c>
      <c r="AH9">
        <v>61.8223</v>
      </c>
      <c r="AJ9">
        <v>59.656</v>
      </c>
      <c r="AL9">
        <v>56.2689</v>
      </c>
      <c r="AN9" t="s">
        <v>172</v>
      </c>
    </row>
    <row r="10" spans="2:40" ht="15">
      <c r="B10" s="173">
        <f>'Team list - 2003'!A8</f>
        <v>4</v>
      </c>
      <c r="C10" s="207" t="str">
        <f>'Team list - 2003'!B8</f>
        <v>Swinburne University of Technology</v>
      </c>
      <c r="D10" s="194">
        <v>49.7762</v>
      </c>
      <c r="E10" s="239"/>
      <c r="F10" s="239"/>
      <c r="G10" s="240">
        <f t="shared" si="0"/>
        <v>49.7762</v>
      </c>
      <c r="H10" s="241">
        <v>48.8434</v>
      </c>
      <c r="I10" s="194"/>
      <c r="J10" s="239"/>
      <c r="K10" s="240">
        <f t="shared" si="1"/>
        <v>48.8434</v>
      </c>
      <c r="L10" s="210">
        <f t="shared" si="2"/>
        <v>48.8434</v>
      </c>
      <c r="Q10">
        <v>4</v>
      </c>
      <c r="T10" t="s">
        <v>107</v>
      </c>
      <c r="W10">
        <v>49.7762</v>
      </c>
      <c r="X10">
        <v>48.8434</v>
      </c>
      <c r="Y10">
        <v>50.7632</v>
      </c>
      <c r="Z10">
        <v>50.346</v>
      </c>
      <c r="AB10">
        <v>4</v>
      </c>
      <c r="AD10" t="s">
        <v>107</v>
      </c>
      <c r="AH10">
        <v>49.7762</v>
      </c>
      <c r="AJ10">
        <v>48.8434</v>
      </c>
      <c r="AL10">
        <v>50.7632</v>
      </c>
      <c r="AN10">
        <v>50.346</v>
      </c>
    </row>
    <row r="11" spans="2:38" ht="15">
      <c r="B11" s="173">
        <f>'Team list - 2003'!A9</f>
        <v>5</v>
      </c>
      <c r="C11" s="207" t="str">
        <f>'Team list - 2003'!B9</f>
        <v>Rochester Institute of Technology, USA</v>
      </c>
      <c r="D11" s="208">
        <v>52.8121</v>
      </c>
      <c r="E11" s="239"/>
      <c r="F11" s="239"/>
      <c r="G11" s="240">
        <f t="shared" si="0"/>
        <v>52.8121</v>
      </c>
      <c r="H11" s="241">
        <v>300</v>
      </c>
      <c r="I11" s="194">
        <v>3</v>
      </c>
      <c r="J11" s="239"/>
      <c r="K11" s="240">
        <f t="shared" si="1"/>
        <v>306</v>
      </c>
      <c r="L11" s="210">
        <f t="shared" si="2"/>
        <v>52.8121</v>
      </c>
      <c r="Q11">
        <v>5</v>
      </c>
      <c r="T11" t="s">
        <v>164</v>
      </c>
      <c r="W11">
        <v>52.8121</v>
      </c>
      <c r="X11">
        <v>51.3166</v>
      </c>
      <c r="Y11">
        <v>50.0803</v>
      </c>
      <c r="AB11">
        <v>5</v>
      </c>
      <c r="AD11" t="s">
        <v>164</v>
      </c>
      <c r="AH11">
        <v>52.8121</v>
      </c>
      <c r="AJ11">
        <v>51.3166</v>
      </c>
      <c r="AL11">
        <v>50.0803</v>
      </c>
    </row>
    <row r="12" spans="2:40" s="156" customFormat="1" ht="30" hidden="1">
      <c r="B12" s="173">
        <f>'Team list - 2003'!A10</f>
        <v>6</v>
      </c>
      <c r="C12" s="207" t="str">
        <f>'Team list - 2003'!B10</f>
        <v>Australian National University &amp; Canberra Institute of Technology</v>
      </c>
      <c r="D12" s="197"/>
      <c r="E12" s="242"/>
      <c r="F12" s="242"/>
      <c r="G12" s="243">
        <f t="shared" si="0"/>
      </c>
      <c r="H12" s="244"/>
      <c r="I12" s="197"/>
      <c r="J12" s="242"/>
      <c r="K12" s="243">
        <f t="shared" si="1"/>
      </c>
      <c r="L12" s="210">
        <f t="shared" si="2"/>
      </c>
      <c r="M12"/>
      <c r="P12"/>
      <c r="Q12">
        <v>8</v>
      </c>
      <c r="T12" t="s">
        <v>165</v>
      </c>
      <c r="U12"/>
      <c r="V12"/>
      <c r="W12"/>
      <c r="X12">
        <v>61.8039</v>
      </c>
      <c r="Y12"/>
      <c r="Z12"/>
      <c r="AB12">
        <v>8</v>
      </c>
      <c r="AC12"/>
      <c r="AD12" t="s">
        <v>165</v>
      </c>
      <c r="AE12"/>
      <c r="AF12"/>
      <c r="AG12"/>
      <c r="AH12"/>
      <c r="AI12"/>
      <c r="AJ12">
        <v>61.8039</v>
      </c>
      <c r="AK12"/>
      <c r="AL12"/>
      <c r="AM12"/>
      <c r="AN12"/>
    </row>
    <row r="13" spans="2:40" ht="15">
      <c r="B13" s="173">
        <f>'Team list - 2003'!A11</f>
        <v>8</v>
      </c>
      <c r="C13" s="207" t="str">
        <f>'Team list - 2003'!B11</f>
        <v>University of Technology, Sydney</v>
      </c>
      <c r="D13" s="194"/>
      <c r="E13" s="239"/>
      <c r="F13" s="239"/>
      <c r="G13" s="240">
        <f>IF((D13+(F13*20)+(E13*2))&lt;0.5,"",(D13+(F13*20)+(E13*2)))</f>
      </c>
      <c r="H13" s="241">
        <v>61.8039</v>
      </c>
      <c r="I13" s="194">
        <v>4</v>
      </c>
      <c r="J13" s="239"/>
      <c r="K13" s="240">
        <f t="shared" si="1"/>
        <v>69.8039</v>
      </c>
      <c r="L13" s="210">
        <f t="shared" si="2"/>
        <v>69.8039</v>
      </c>
      <c r="Q13">
        <v>9</v>
      </c>
      <c r="T13" t="s">
        <v>77</v>
      </c>
      <c r="W13">
        <v>54.5863</v>
      </c>
      <c r="X13">
        <v>51.6746</v>
      </c>
      <c r="Y13">
        <v>50.5709</v>
      </c>
      <c r="Z13">
        <v>50.0726</v>
      </c>
      <c r="AB13">
        <v>9</v>
      </c>
      <c r="AD13" t="s">
        <v>77</v>
      </c>
      <c r="AH13">
        <v>54.5863</v>
      </c>
      <c r="AJ13">
        <v>51.6746</v>
      </c>
      <c r="AL13">
        <v>50.5709</v>
      </c>
      <c r="AN13">
        <v>50.0726</v>
      </c>
    </row>
    <row r="14" spans="2:40" ht="15">
      <c r="B14" s="173">
        <f>'Team list - 2003'!A12</f>
        <v>9</v>
      </c>
      <c r="C14" s="207" t="str">
        <f>'Team list - 2003'!B12</f>
        <v>The University of Adelaide</v>
      </c>
      <c r="D14" s="194">
        <v>54.5863</v>
      </c>
      <c r="E14" s="239"/>
      <c r="F14" s="239"/>
      <c r="G14" s="240">
        <f t="shared" si="0"/>
        <v>54.5863</v>
      </c>
      <c r="H14" s="241">
        <v>51.6746</v>
      </c>
      <c r="I14" s="194"/>
      <c r="J14" s="239"/>
      <c r="K14" s="240">
        <f t="shared" si="1"/>
        <v>51.6746</v>
      </c>
      <c r="L14" s="210">
        <f t="shared" si="2"/>
        <v>51.6746</v>
      </c>
      <c r="Q14">
        <v>11</v>
      </c>
      <c r="T14" t="s">
        <v>166</v>
      </c>
      <c r="W14">
        <v>52.0173</v>
      </c>
      <c r="X14">
        <v>56.9966</v>
      </c>
      <c r="Y14">
        <v>50.9454</v>
      </c>
      <c r="Z14">
        <v>54.3099</v>
      </c>
      <c r="AB14">
        <v>11</v>
      </c>
      <c r="AD14" t="s">
        <v>166</v>
      </c>
      <c r="AH14">
        <v>52.0173</v>
      </c>
      <c r="AJ14">
        <v>56.9966</v>
      </c>
      <c r="AL14">
        <v>50.9454</v>
      </c>
      <c r="AN14">
        <v>54.3099</v>
      </c>
    </row>
    <row r="15" spans="2:38" ht="15">
      <c r="B15" s="173">
        <f>'Team list - 2003'!A13</f>
        <v>11</v>
      </c>
      <c r="C15" s="207" t="str">
        <f>'Team list - 2003'!B13</f>
        <v>Auburn University, USA</v>
      </c>
      <c r="D15" s="194">
        <v>52.0173</v>
      </c>
      <c r="E15" s="239">
        <v>2</v>
      </c>
      <c r="F15" s="239">
        <v>1</v>
      </c>
      <c r="G15" s="240">
        <f t="shared" si="0"/>
        <v>76.0173</v>
      </c>
      <c r="H15" s="241">
        <v>56.9966</v>
      </c>
      <c r="I15" s="194">
        <v>3</v>
      </c>
      <c r="J15" s="239">
        <v>1</v>
      </c>
      <c r="K15" s="240">
        <f t="shared" si="1"/>
        <v>82.9966</v>
      </c>
      <c r="L15" s="210">
        <f t="shared" si="2"/>
        <v>76.0173</v>
      </c>
      <c r="Q15">
        <v>14</v>
      </c>
      <c r="T15" t="s">
        <v>112</v>
      </c>
      <c r="W15">
        <v>59.7371</v>
      </c>
      <c r="X15">
        <v>55.736</v>
      </c>
      <c r="Y15">
        <v>75.1865</v>
      </c>
      <c r="AB15">
        <v>14</v>
      </c>
      <c r="AD15" t="s">
        <v>112</v>
      </c>
      <c r="AH15">
        <v>59.7371</v>
      </c>
      <c r="AJ15">
        <v>55.736</v>
      </c>
      <c r="AL15">
        <v>75.1865</v>
      </c>
    </row>
    <row r="16" spans="2:40" ht="15">
      <c r="B16" s="173">
        <f>'Team list - 2003'!A14</f>
        <v>14</v>
      </c>
      <c r="C16" s="207" t="str">
        <f>'Team list - 2003'!B14</f>
        <v>Curtin University of Technology</v>
      </c>
      <c r="D16" s="194">
        <v>59.7371</v>
      </c>
      <c r="E16" s="239"/>
      <c r="F16" s="239"/>
      <c r="G16" s="240">
        <f t="shared" si="0"/>
        <v>59.7371</v>
      </c>
      <c r="H16" s="241">
        <v>55.736</v>
      </c>
      <c r="I16" s="194"/>
      <c r="J16" s="239"/>
      <c r="K16" s="240">
        <f t="shared" si="1"/>
        <v>55.736</v>
      </c>
      <c r="L16" s="210">
        <f t="shared" si="2"/>
        <v>55.736</v>
      </c>
      <c r="Q16">
        <v>18</v>
      </c>
      <c r="T16" t="s">
        <v>86</v>
      </c>
      <c r="W16">
        <v>150.5164</v>
      </c>
      <c r="X16">
        <v>53.4033</v>
      </c>
      <c r="Y16">
        <v>54.4967</v>
      </c>
      <c r="Z16">
        <v>54.3049</v>
      </c>
      <c r="AB16">
        <v>18</v>
      </c>
      <c r="AD16" t="s">
        <v>86</v>
      </c>
      <c r="AH16">
        <v>150.5164</v>
      </c>
      <c r="AJ16">
        <v>53.4033</v>
      </c>
      <c r="AL16">
        <v>54.4967</v>
      </c>
      <c r="AN16">
        <v>54.3049</v>
      </c>
    </row>
    <row r="17" spans="2:36" ht="15">
      <c r="B17" s="173">
        <f>'Team list - 2003'!A15</f>
        <v>18</v>
      </c>
      <c r="C17" s="207" t="str">
        <f>'Team list - 2003'!B15</f>
        <v>University of Melbourne</v>
      </c>
      <c r="D17" s="194">
        <v>150.5164</v>
      </c>
      <c r="E17" s="239">
        <v>5</v>
      </c>
      <c r="F17" s="239">
        <v>1</v>
      </c>
      <c r="G17" s="240">
        <f t="shared" si="0"/>
        <v>180.5164</v>
      </c>
      <c r="H17" s="241">
        <v>53.4033</v>
      </c>
      <c r="I17" s="194"/>
      <c r="J17" s="239"/>
      <c r="K17" s="240">
        <f t="shared" si="1"/>
        <v>53.4033</v>
      </c>
      <c r="L17" s="210">
        <f t="shared" si="2"/>
        <v>53.4033</v>
      </c>
      <c r="Q17">
        <v>21</v>
      </c>
      <c r="T17" t="s">
        <v>167</v>
      </c>
      <c r="W17">
        <v>53.155</v>
      </c>
      <c r="X17">
        <v>53.5734</v>
      </c>
      <c r="AB17">
        <v>21</v>
      </c>
      <c r="AD17" t="s">
        <v>167</v>
      </c>
      <c r="AH17">
        <v>53.155</v>
      </c>
      <c r="AJ17">
        <v>53.5734</v>
      </c>
    </row>
    <row r="18" spans="2:40" s="339" customFormat="1" ht="15">
      <c r="B18" s="332">
        <f>'Team list - 2003'!A16</f>
        <v>19</v>
      </c>
      <c r="C18" s="344" t="str">
        <f>'Team list - 2003'!B16</f>
        <v>University of Braunschweig, GERMANY</v>
      </c>
      <c r="D18" s="341"/>
      <c r="E18" s="342"/>
      <c r="F18" s="342"/>
      <c r="G18" s="341">
        <f t="shared" si="0"/>
      </c>
      <c r="H18" s="343"/>
      <c r="I18" s="341"/>
      <c r="J18" s="342"/>
      <c r="K18" s="341">
        <f t="shared" si="1"/>
      </c>
      <c r="L18" s="337">
        <f t="shared" si="2"/>
      </c>
      <c r="Q18" s="339">
        <v>23</v>
      </c>
      <c r="T18" s="339" t="s">
        <v>45</v>
      </c>
      <c r="W18" s="339">
        <v>64.6675</v>
      </c>
      <c r="X18" s="339">
        <v>57.5507</v>
      </c>
      <c r="Y18" s="339">
        <v>63.3913</v>
      </c>
      <c r="Z18" s="339">
        <v>56.4712</v>
      </c>
      <c r="AB18" s="339">
        <v>23</v>
      </c>
      <c r="AD18" s="339" t="s">
        <v>45</v>
      </c>
      <c r="AH18" s="339">
        <v>64.6675</v>
      </c>
      <c r="AJ18" s="339">
        <v>57.5507</v>
      </c>
      <c r="AL18" s="339">
        <v>63.3913</v>
      </c>
      <c r="AN18" s="339">
        <v>56.4712</v>
      </c>
    </row>
    <row r="19" spans="2:40" ht="15">
      <c r="B19" s="173">
        <f>'Team list - 2003'!A17</f>
        <v>21</v>
      </c>
      <c r="C19" s="207" t="str">
        <f>'Team list - 2003'!B17</f>
        <v>Tokyo Denki University, JAPAN </v>
      </c>
      <c r="D19" s="194">
        <v>53.155</v>
      </c>
      <c r="E19" s="239">
        <v>1</v>
      </c>
      <c r="F19" s="239"/>
      <c r="G19" s="240">
        <f t="shared" si="0"/>
        <v>55.155</v>
      </c>
      <c r="H19" s="241">
        <v>53.5734</v>
      </c>
      <c r="I19" s="194">
        <v>1</v>
      </c>
      <c r="J19" s="239">
        <v>1</v>
      </c>
      <c r="K19" s="240">
        <f t="shared" si="1"/>
        <v>75.57339999999999</v>
      </c>
      <c r="L19" s="210">
        <f t="shared" si="2"/>
        <v>55.155</v>
      </c>
      <c r="Q19">
        <v>31</v>
      </c>
      <c r="T19" t="s">
        <v>168</v>
      </c>
      <c r="W19">
        <v>49.2924</v>
      </c>
      <c r="X19">
        <v>49.149</v>
      </c>
      <c r="Y19">
        <v>49.4634</v>
      </c>
      <c r="Z19">
        <v>49.5924</v>
      </c>
      <c r="AB19">
        <v>31</v>
      </c>
      <c r="AD19" t="s">
        <v>168</v>
      </c>
      <c r="AH19">
        <v>49.2924</v>
      </c>
      <c r="AJ19">
        <v>49.149</v>
      </c>
      <c r="AL19">
        <v>49.4634</v>
      </c>
      <c r="AN19">
        <v>49.5924</v>
      </c>
    </row>
    <row r="20" spans="2:40" ht="15">
      <c r="B20" s="173">
        <f>'Team list - 2003'!A18</f>
        <v>23</v>
      </c>
      <c r="C20" s="207" t="str">
        <f>'Team list - 2003'!B18</f>
        <v>Deakin University</v>
      </c>
      <c r="D20" s="194">
        <v>64.6675</v>
      </c>
      <c r="E20" s="239">
        <v>2</v>
      </c>
      <c r="F20" s="239"/>
      <c r="G20" s="240">
        <f t="shared" si="0"/>
        <v>68.6675</v>
      </c>
      <c r="H20" s="241">
        <v>57.5507</v>
      </c>
      <c r="I20" s="194">
        <v>1</v>
      </c>
      <c r="J20" s="239">
        <v>1</v>
      </c>
      <c r="K20" s="240">
        <f t="shared" si="1"/>
        <v>79.5507</v>
      </c>
      <c r="L20" s="210">
        <f t="shared" si="2"/>
        <v>68.6675</v>
      </c>
      <c r="Q20">
        <v>35</v>
      </c>
      <c r="T20" t="s">
        <v>169</v>
      </c>
      <c r="W20">
        <v>52.3719</v>
      </c>
      <c r="X20">
        <v>60.317</v>
      </c>
      <c r="Y20">
        <v>55.6765</v>
      </c>
      <c r="Z20" t="s">
        <v>173</v>
      </c>
      <c r="AB20">
        <v>35</v>
      </c>
      <c r="AD20" t="s">
        <v>169</v>
      </c>
      <c r="AH20">
        <v>52.3719</v>
      </c>
      <c r="AJ20">
        <v>60.317</v>
      </c>
      <c r="AL20">
        <v>55.6765</v>
      </c>
      <c r="AN20" t="s">
        <v>173</v>
      </c>
    </row>
    <row r="21" spans="2:40" ht="15">
      <c r="B21" s="173">
        <f>'Team list - 2003'!A19</f>
        <v>31</v>
      </c>
      <c r="C21" s="207" t="str">
        <f>'Team list - 2003'!B19</f>
        <v>Georgia Institute of Technology, USA</v>
      </c>
      <c r="D21" s="194">
        <v>49.2924</v>
      </c>
      <c r="E21" s="239">
        <v>1</v>
      </c>
      <c r="F21" s="239"/>
      <c r="G21" s="240">
        <f t="shared" si="0"/>
        <v>51.2924</v>
      </c>
      <c r="H21" s="241">
        <v>49.149</v>
      </c>
      <c r="I21" s="194"/>
      <c r="J21" s="239"/>
      <c r="K21" s="240">
        <f t="shared" si="1"/>
        <v>49.149</v>
      </c>
      <c r="L21" s="210">
        <f t="shared" si="2"/>
        <v>49.149</v>
      </c>
      <c r="Q21">
        <v>41</v>
      </c>
      <c r="T21" t="s">
        <v>170</v>
      </c>
      <c r="W21">
        <v>57.709</v>
      </c>
      <c r="X21">
        <v>88.6427</v>
      </c>
      <c r="Y21">
        <v>52.8325</v>
      </c>
      <c r="Z21">
        <v>52.1437</v>
      </c>
      <c r="AB21">
        <v>41</v>
      </c>
      <c r="AD21" t="s">
        <v>170</v>
      </c>
      <c r="AH21">
        <v>57.709</v>
      </c>
      <c r="AJ21">
        <v>88.6427</v>
      </c>
      <c r="AL21">
        <v>52.8325</v>
      </c>
      <c r="AN21">
        <v>52.1437</v>
      </c>
    </row>
    <row r="22" spans="2:40" ht="15">
      <c r="B22" s="173">
        <f>'Team list - 2003'!A20</f>
        <v>35</v>
      </c>
      <c r="C22" s="207" t="str">
        <f>'Team list - 2003'!B20</f>
        <v>Chalmers University, SWEDEN </v>
      </c>
      <c r="D22" s="194">
        <v>52.3719</v>
      </c>
      <c r="E22" s="239"/>
      <c r="F22" s="239"/>
      <c r="G22" s="240">
        <f t="shared" si="0"/>
        <v>52.3719</v>
      </c>
      <c r="H22" s="241">
        <v>60.317</v>
      </c>
      <c r="I22" s="194">
        <v>1</v>
      </c>
      <c r="J22" s="239"/>
      <c r="K22" s="240">
        <f t="shared" si="1"/>
        <v>62.317</v>
      </c>
      <c r="L22" s="210">
        <f t="shared" si="2"/>
        <v>52.3719</v>
      </c>
      <c r="Q22">
        <v>45</v>
      </c>
      <c r="T22" t="s">
        <v>118</v>
      </c>
      <c r="W22">
        <v>50.7731</v>
      </c>
      <c r="X22">
        <v>60.3746</v>
      </c>
      <c r="Y22">
        <v>49.3411</v>
      </c>
      <c r="Z22" t="s">
        <v>174</v>
      </c>
      <c r="AB22">
        <v>45</v>
      </c>
      <c r="AD22" t="s">
        <v>118</v>
      </c>
      <c r="AH22">
        <v>50.7731</v>
      </c>
      <c r="AJ22">
        <v>60.3746</v>
      </c>
      <c r="AL22">
        <v>49.3411</v>
      </c>
      <c r="AN22" t="s">
        <v>174</v>
      </c>
    </row>
    <row r="23" spans="2:40" ht="15">
      <c r="B23" s="173">
        <f>'Team list - 2003'!A21</f>
        <v>41</v>
      </c>
      <c r="C23" s="207" t="str">
        <f>'Team list - 2003'!B21</f>
        <v>University of Queensland</v>
      </c>
      <c r="D23" s="194">
        <v>57.709</v>
      </c>
      <c r="E23" s="239">
        <v>1</v>
      </c>
      <c r="F23" s="239"/>
      <c r="G23" s="240">
        <f t="shared" si="0"/>
        <v>59.709</v>
      </c>
      <c r="H23" s="241">
        <v>88.6427</v>
      </c>
      <c r="I23" s="194">
        <v>1</v>
      </c>
      <c r="J23" s="239"/>
      <c r="K23" s="240">
        <f t="shared" si="1"/>
        <v>90.6427</v>
      </c>
      <c r="L23" s="210">
        <f t="shared" si="2"/>
        <v>59.709</v>
      </c>
      <c r="Q23">
        <v>63</v>
      </c>
      <c r="T23" t="s">
        <v>171</v>
      </c>
      <c r="W23">
        <v>53.2344</v>
      </c>
      <c r="X23">
        <v>51.2236</v>
      </c>
      <c r="Y23">
        <v>60.1612</v>
      </c>
      <c r="Z23">
        <v>56.2809</v>
      </c>
      <c r="AB23">
        <v>63</v>
      </c>
      <c r="AD23" t="s">
        <v>171</v>
      </c>
      <c r="AH23">
        <v>53.2344</v>
      </c>
      <c r="AJ23">
        <v>51.2236</v>
      </c>
      <c r="AL23">
        <v>60.1612</v>
      </c>
      <c r="AN23">
        <v>56.2809</v>
      </c>
    </row>
    <row r="24" spans="2:40" s="339" customFormat="1" ht="15">
      <c r="B24" s="332">
        <f>'Team list - 2003'!A22</f>
        <v>44</v>
      </c>
      <c r="C24" s="344" t="str">
        <f>'Team list - 2003'!B22</f>
        <v>University of Newcastle</v>
      </c>
      <c r="D24" s="341"/>
      <c r="E24" s="342"/>
      <c r="F24" s="342"/>
      <c r="G24" s="341">
        <f>IF((D24+(F24*20)+(E24*2))&lt;0.5,"",(D24+(F24*20)+(E24*2)))</f>
      </c>
      <c r="H24" s="343"/>
      <c r="I24" s="341"/>
      <c r="J24" s="342"/>
      <c r="K24" s="341">
        <f t="shared" si="1"/>
      </c>
      <c r="L24" s="337">
        <f t="shared" si="2"/>
      </c>
      <c r="Q24" s="339">
        <v>66</v>
      </c>
      <c r="T24" s="339" t="s">
        <v>46</v>
      </c>
      <c r="W24" s="339">
        <v>51.3755</v>
      </c>
      <c r="X24" s="339">
        <v>50.4323</v>
      </c>
      <c r="Y24" s="339">
        <v>48.691</v>
      </c>
      <c r="Z24" s="339">
        <v>47.4254</v>
      </c>
      <c r="AB24" s="339">
        <v>66</v>
      </c>
      <c r="AD24" s="339" t="s">
        <v>46</v>
      </c>
      <c r="AH24" s="339">
        <v>51.3755</v>
      </c>
      <c r="AJ24" s="339">
        <v>50.4323</v>
      </c>
      <c r="AL24" s="339">
        <v>48.691</v>
      </c>
      <c r="AN24" s="339">
        <v>47.4254</v>
      </c>
    </row>
    <row r="25" spans="2:12" ht="15">
      <c r="B25" s="173">
        <f>'Team list - 2003'!A23</f>
        <v>45</v>
      </c>
      <c r="C25" s="207" t="str">
        <f>'Team list - 2003'!B23</f>
        <v>RMIT University</v>
      </c>
      <c r="D25" s="194">
        <v>50.7731</v>
      </c>
      <c r="E25" s="239">
        <v>3</v>
      </c>
      <c r="F25" s="239"/>
      <c r="G25" s="240">
        <f t="shared" si="0"/>
        <v>56.7731</v>
      </c>
      <c r="H25" s="241">
        <v>60.3746</v>
      </c>
      <c r="I25" s="194">
        <v>1</v>
      </c>
      <c r="J25" s="239"/>
      <c r="K25" s="240">
        <f t="shared" si="1"/>
        <v>62.3746</v>
      </c>
      <c r="L25" s="210">
        <f t="shared" si="2"/>
        <v>56.7731</v>
      </c>
    </row>
    <row r="26" spans="2:12" ht="15">
      <c r="B26" s="173">
        <f>'Team list - 2003'!A24</f>
        <v>63</v>
      </c>
      <c r="C26" s="207" t="str">
        <f>'Team list - 2003'!B24</f>
        <v>University of NSW</v>
      </c>
      <c r="D26" s="194">
        <v>53.2344</v>
      </c>
      <c r="E26" s="239"/>
      <c r="F26" s="239"/>
      <c r="G26" s="240">
        <f t="shared" si="0"/>
        <v>53.2344</v>
      </c>
      <c r="H26" s="241">
        <v>51.2236</v>
      </c>
      <c r="I26" s="194"/>
      <c r="J26" s="239"/>
      <c r="K26" s="240">
        <f t="shared" si="1"/>
        <v>51.2236</v>
      </c>
      <c r="L26" s="210">
        <f t="shared" si="2"/>
        <v>51.2236</v>
      </c>
    </row>
    <row r="27" spans="2:12" ht="15.75" thickBot="1">
      <c r="B27" s="179">
        <f>'Team list - 2003'!A25</f>
        <v>66</v>
      </c>
      <c r="C27" s="180" t="str">
        <f>'Team list - 2003'!B25</f>
        <v>Monash University</v>
      </c>
      <c r="D27" s="201">
        <v>51.3755</v>
      </c>
      <c r="E27" s="245"/>
      <c r="F27" s="245"/>
      <c r="G27" s="235">
        <f>IF((D27+(F27*20)+(E27*2))&lt;0.5,"",(D27+(F27*20)+(E27*2)))</f>
        <v>51.3755</v>
      </c>
      <c r="H27" s="246">
        <v>50.4323</v>
      </c>
      <c r="I27" s="201"/>
      <c r="J27" s="245"/>
      <c r="K27" s="235">
        <f t="shared" si="1"/>
        <v>50.4323</v>
      </c>
      <c r="L27" s="221">
        <f t="shared" si="2"/>
        <v>50.4323</v>
      </c>
    </row>
    <row r="28" spans="2:36" ht="15">
      <c r="B28" s="99"/>
      <c r="C28" s="69"/>
      <c r="D28" s="53"/>
      <c r="E28" s="53"/>
      <c r="F28" s="53"/>
      <c r="G28" s="53"/>
      <c r="H28" s="53"/>
      <c r="I28" s="53"/>
      <c r="J28" s="53"/>
      <c r="K28" s="53"/>
      <c r="L28" s="53"/>
      <c r="M28" s="53"/>
      <c r="U28" s="53"/>
      <c r="V28" s="53"/>
      <c r="W28" s="53"/>
      <c r="X28" s="53"/>
      <c r="Y28" s="53"/>
      <c r="Z28" s="53"/>
      <c r="AA28" s="29"/>
      <c r="AB28">
        <v>8</v>
      </c>
      <c r="AD28" t="s">
        <v>165</v>
      </c>
      <c r="AJ28">
        <v>61.8039</v>
      </c>
    </row>
    <row r="29" spans="2:23" ht="12" customHeight="1" thickBot="1">
      <c r="B29" s="99"/>
      <c r="C29" s="69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29"/>
      <c r="U29" s="151"/>
      <c r="V29" s="29"/>
      <c r="W29" s="29"/>
    </row>
    <row r="30" spans="2:15" ht="12.75">
      <c r="B30" s="40"/>
      <c r="C30" s="41"/>
      <c r="D30" s="395" t="s">
        <v>10</v>
      </c>
      <c r="E30" s="371"/>
      <c r="F30" s="371"/>
      <c r="G30" s="372"/>
      <c r="H30" s="395" t="s">
        <v>10</v>
      </c>
      <c r="I30" s="396"/>
      <c r="J30" s="396"/>
      <c r="K30" s="397"/>
      <c r="L30" s="44"/>
      <c r="M30" s="45"/>
      <c r="N30" s="42" t="s">
        <v>0</v>
      </c>
      <c r="O30" s="45" t="s">
        <v>0</v>
      </c>
    </row>
    <row r="31" spans="2:15" ht="16.5" thickBot="1">
      <c r="B31" s="8" t="s">
        <v>6</v>
      </c>
      <c r="C31" s="9" t="s">
        <v>93</v>
      </c>
      <c r="D31" s="373"/>
      <c r="E31" s="374"/>
      <c r="F31" s="374"/>
      <c r="G31" s="400"/>
      <c r="H31" s="398"/>
      <c r="I31" s="399"/>
      <c r="J31" s="399"/>
      <c r="K31" s="367"/>
      <c r="L31" s="46" t="s">
        <v>23</v>
      </c>
      <c r="M31" s="46" t="s">
        <v>0</v>
      </c>
      <c r="N31" s="47" t="s">
        <v>2</v>
      </c>
      <c r="O31" s="46" t="s">
        <v>3</v>
      </c>
    </row>
    <row r="32" spans="2:15" ht="16.5" thickBot="1">
      <c r="B32" s="8" t="s">
        <v>7</v>
      </c>
      <c r="C32" s="34"/>
      <c r="D32" s="368" t="s">
        <v>140</v>
      </c>
      <c r="E32" s="369"/>
      <c r="F32" s="369"/>
      <c r="G32" s="370"/>
      <c r="H32" s="392" t="s">
        <v>141</v>
      </c>
      <c r="I32" s="393"/>
      <c r="J32" s="393"/>
      <c r="K32" s="394"/>
      <c r="L32" s="46" t="s">
        <v>12</v>
      </c>
      <c r="M32" s="46" t="s">
        <v>23</v>
      </c>
      <c r="N32" s="47" t="s">
        <v>3</v>
      </c>
      <c r="O32" s="46" t="s">
        <v>5</v>
      </c>
    </row>
    <row r="33" spans="2:15" ht="15.75" thickBot="1">
      <c r="B33" s="30"/>
      <c r="C33" s="36"/>
      <c r="D33" s="31" t="s">
        <v>28</v>
      </c>
      <c r="E33" s="32" t="s">
        <v>13</v>
      </c>
      <c r="F33" s="32" t="s">
        <v>29</v>
      </c>
      <c r="G33" s="28" t="s">
        <v>12</v>
      </c>
      <c r="H33" s="31" t="s">
        <v>30</v>
      </c>
      <c r="I33" s="31" t="s">
        <v>13</v>
      </c>
      <c r="J33" s="31" t="s">
        <v>29</v>
      </c>
      <c r="K33" s="25" t="s">
        <v>12</v>
      </c>
      <c r="L33" s="46" t="s">
        <v>104</v>
      </c>
      <c r="M33" s="50" t="s">
        <v>12</v>
      </c>
      <c r="N33" s="47" t="s">
        <v>4</v>
      </c>
      <c r="O33" s="38" t="s">
        <v>131</v>
      </c>
    </row>
    <row r="34" spans="2:15" ht="15">
      <c r="B34" s="169">
        <f aca="true" t="shared" si="3" ref="B34:C54">B7</f>
        <v>1</v>
      </c>
      <c r="C34" s="170" t="str">
        <f t="shared" si="3"/>
        <v>University of Wollongong</v>
      </c>
      <c r="D34" s="190">
        <v>73.299</v>
      </c>
      <c r="E34" s="236">
        <v>2</v>
      </c>
      <c r="F34" s="236"/>
      <c r="G34" s="237">
        <f>IF((D34+(F34*20)+(E34*2))&lt;0.5,"",(D34+(F34*20)+(E34*2)))</f>
        <v>77.299</v>
      </c>
      <c r="H34" s="238">
        <v>48.7095</v>
      </c>
      <c r="I34" s="190"/>
      <c r="J34" s="236"/>
      <c r="K34" s="237">
        <f>IF((H34+(J34*20)+(I34*2))&lt;0.5,"",(H34+(J34*20)+(I34*2)))</f>
        <v>48.7095</v>
      </c>
      <c r="L34" s="205">
        <f>IF(MIN(K34,G34)=0,"",MIN(K34,G34))</f>
        <v>48.7095</v>
      </c>
      <c r="M34" s="247">
        <f aca="true" t="shared" si="4" ref="M34:M54">IF(L7="","",MIN(L34,L7))</f>
        <v>48.7095</v>
      </c>
      <c r="N34" s="189">
        <f>IF(M34="","",IF(M34="DNF","",IF(M34&gt;$N$60,7.5,((($N$60/M34)-1)/(($N$60/$N$59)-1))*142.5+7.5)))</f>
        <v>131.21678009423223</v>
      </c>
      <c r="O34" s="234">
        <f>IF(N34="","",RANK(N34,$N$34:$N$54))</f>
        <v>3</v>
      </c>
    </row>
    <row r="35" spans="2:15" ht="15">
      <c r="B35" s="173">
        <f t="shared" si="3"/>
        <v>2</v>
      </c>
      <c r="C35" s="248" t="str">
        <f t="shared" si="3"/>
        <v>University of Western Australia</v>
      </c>
      <c r="D35" s="194">
        <v>51.7764</v>
      </c>
      <c r="E35" s="239"/>
      <c r="F35" s="239"/>
      <c r="G35" s="240">
        <f aca="true" t="shared" si="5" ref="G35:G54">IF((D35+(F35*20)+(E35*2))&lt;0.5,"",(D35+(F35*20)+(E35*2)))</f>
        <v>51.7764</v>
      </c>
      <c r="H35" s="241">
        <v>55.7131</v>
      </c>
      <c r="I35" s="194"/>
      <c r="J35" s="239"/>
      <c r="K35" s="240">
        <f aca="true" t="shared" si="6" ref="K35:K54">IF((H35+(J35*20)+(I35*2))&lt;0.5,"",(H35+(J35*20)+(I35*2)))</f>
        <v>55.7131</v>
      </c>
      <c r="L35" s="210">
        <f aca="true" t="shared" si="7" ref="L35:L54">IF(MIN(K35,G35)=0,"",MIN(K35,G35))</f>
        <v>51.7764</v>
      </c>
      <c r="M35" s="210">
        <f t="shared" si="4"/>
        <v>51.7764</v>
      </c>
      <c r="N35" s="193">
        <f aca="true" t="shared" si="8" ref="N35:N54">IF(M35="","",IF(M35="DNF","",IF(M35&gt;$N$60,7.5,((($N$60/M35)-1)/(($N$60/$N$59)-1))*142.5+7.5)))</f>
        <v>90.12547222286597</v>
      </c>
      <c r="O35" s="231">
        <f aca="true" t="shared" si="9" ref="O35:O54">IF(N35="","",RANK(N35,$N$34:$N$54))</f>
        <v>10</v>
      </c>
    </row>
    <row r="36" spans="2:15" ht="15">
      <c r="B36" s="173">
        <f t="shared" si="3"/>
        <v>3</v>
      </c>
      <c r="C36" s="248" t="str">
        <f t="shared" si="3"/>
        <v>University of Sydney</v>
      </c>
      <c r="D36" s="194">
        <v>56.2689</v>
      </c>
      <c r="E36" s="239"/>
      <c r="F36" s="239"/>
      <c r="G36" s="240">
        <f t="shared" si="5"/>
        <v>56.2689</v>
      </c>
      <c r="H36" s="241">
        <v>54.2581</v>
      </c>
      <c r="I36" s="194"/>
      <c r="J36" s="239"/>
      <c r="K36" s="240">
        <f t="shared" si="6"/>
        <v>54.2581</v>
      </c>
      <c r="L36" s="210">
        <f t="shared" si="7"/>
        <v>54.2581</v>
      </c>
      <c r="M36" s="210">
        <f t="shared" si="4"/>
        <v>54.2581</v>
      </c>
      <c r="N36" s="193">
        <f t="shared" si="8"/>
        <v>60.27517089614279</v>
      </c>
      <c r="O36" s="231">
        <f t="shared" si="9"/>
        <v>14</v>
      </c>
    </row>
    <row r="37" spans="2:15" ht="15">
      <c r="B37" s="173">
        <f t="shared" si="3"/>
        <v>4</v>
      </c>
      <c r="C37" s="248" t="str">
        <f t="shared" si="3"/>
        <v>Swinburne University of Technology</v>
      </c>
      <c r="D37" s="194">
        <v>50.7632</v>
      </c>
      <c r="E37" s="239">
        <v>1</v>
      </c>
      <c r="F37" s="239"/>
      <c r="G37" s="240">
        <f t="shared" si="5"/>
        <v>52.7632</v>
      </c>
      <c r="H37" s="241">
        <v>50.346</v>
      </c>
      <c r="I37" s="194">
        <v>1</v>
      </c>
      <c r="J37" s="239"/>
      <c r="K37" s="240">
        <f t="shared" si="6"/>
        <v>52.346</v>
      </c>
      <c r="L37" s="210">
        <f t="shared" si="7"/>
        <v>52.346</v>
      </c>
      <c r="M37" s="210">
        <f t="shared" si="4"/>
        <v>48.8434</v>
      </c>
      <c r="N37" s="193">
        <f t="shared" si="8"/>
        <v>129.31501492525086</v>
      </c>
      <c r="O37" s="231">
        <f t="shared" si="9"/>
        <v>4</v>
      </c>
    </row>
    <row r="38" spans="2:15" ht="15">
      <c r="B38" s="173">
        <f t="shared" si="3"/>
        <v>5</v>
      </c>
      <c r="C38" s="248" t="str">
        <f t="shared" si="3"/>
        <v>Rochester Institute of Technology, USA</v>
      </c>
      <c r="D38" s="194">
        <v>51.3166</v>
      </c>
      <c r="E38" s="239">
        <v>1</v>
      </c>
      <c r="F38" s="239"/>
      <c r="G38" s="240">
        <f t="shared" si="5"/>
        <v>53.3166</v>
      </c>
      <c r="H38" s="194">
        <v>50.0803</v>
      </c>
      <c r="I38" s="194">
        <v>1</v>
      </c>
      <c r="J38" s="239"/>
      <c r="K38" s="240">
        <f t="shared" si="6"/>
        <v>52.0803</v>
      </c>
      <c r="L38" s="210">
        <f t="shared" si="7"/>
        <v>52.0803</v>
      </c>
      <c r="M38" s="210">
        <f t="shared" si="4"/>
        <v>52.0803</v>
      </c>
      <c r="N38" s="193">
        <f t="shared" si="8"/>
        <v>86.31725911717098</v>
      </c>
      <c r="O38" s="231">
        <f t="shared" si="9"/>
        <v>11</v>
      </c>
    </row>
    <row r="39" spans="2:17" s="340" customFormat="1" ht="30">
      <c r="B39" s="332">
        <f t="shared" si="3"/>
        <v>6</v>
      </c>
      <c r="C39" s="333" t="str">
        <f t="shared" si="3"/>
        <v>Australian National University &amp; Canberra Institute of Technology</v>
      </c>
      <c r="D39" s="334"/>
      <c r="E39" s="335"/>
      <c r="F39" s="335"/>
      <c r="G39" s="334">
        <f t="shared" si="5"/>
      </c>
      <c r="H39" s="336"/>
      <c r="I39" s="334"/>
      <c r="J39" s="335"/>
      <c r="K39" s="334">
        <f t="shared" si="6"/>
      </c>
      <c r="L39" s="337">
        <f t="shared" si="7"/>
      </c>
      <c r="M39" s="338">
        <f t="shared" si="4"/>
      </c>
      <c r="N39" s="193">
        <f t="shared" si="8"/>
      </c>
      <c r="O39" s="341">
        <f t="shared" si="9"/>
      </c>
      <c r="P39" s="339"/>
      <c r="Q39" s="339"/>
    </row>
    <row r="40" spans="2:15" ht="15">
      <c r="B40" s="173">
        <f t="shared" si="3"/>
        <v>8</v>
      </c>
      <c r="C40" s="248" t="str">
        <f t="shared" si="3"/>
        <v>University of Technology, Sydney</v>
      </c>
      <c r="D40" s="194"/>
      <c r="E40" s="239"/>
      <c r="F40" s="239"/>
      <c r="G40" s="240">
        <f t="shared" si="5"/>
      </c>
      <c r="H40" s="241"/>
      <c r="I40" s="194"/>
      <c r="J40" s="239"/>
      <c r="K40" s="240">
        <f t="shared" si="6"/>
      </c>
      <c r="L40" s="210">
        <f t="shared" si="7"/>
      </c>
      <c r="M40" s="210">
        <f t="shared" si="4"/>
        <v>69.8039</v>
      </c>
      <c r="N40" s="193">
        <f t="shared" si="8"/>
        <v>7.5</v>
      </c>
      <c r="O40" s="231">
        <f t="shared" si="9"/>
        <v>18</v>
      </c>
    </row>
    <row r="41" spans="2:15" ht="15">
      <c r="B41" s="173">
        <f t="shared" si="3"/>
        <v>9</v>
      </c>
      <c r="C41" s="248" t="str">
        <f t="shared" si="3"/>
        <v>The University of Adelaide</v>
      </c>
      <c r="D41" s="194">
        <v>50.5709</v>
      </c>
      <c r="E41" s="239">
        <v>1</v>
      </c>
      <c r="F41" s="239"/>
      <c r="G41" s="240">
        <f t="shared" si="5"/>
        <v>52.5709</v>
      </c>
      <c r="H41" s="241">
        <v>50.0726</v>
      </c>
      <c r="I41" s="194"/>
      <c r="J41" s="239"/>
      <c r="K41" s="240">
        <f t="shared" si="6"/>
        <v>50.0726</v>
      </c>
      <c r="L41" s="210">
        <f t="shared" si="7"/>
        <v>50.0726</v>
      </c>
      <c r="M41" s="210">
        <f t="shared" si="4"/>
        <v>50.0726</v>
      </c>
      <c r="N41" s="193">
        <f t="shared" si="8"/>
        <v>112.33209379980265</v>
      </c>
      <c r="O41" s="231">
        <f t="shared" si="9"/>
        <v>7</v>
      </c>
    </row>
    <row r="42" spans="2:15" ht="15">
      <c r="B42" s="173">
        <f t="shared" si="3"/>
        <v>11</v>
      </c>
      <c r="C42" s="248" t="str">
        <f t="shared" si="3"/>
        <v>Auburn University, USA</v>
      </c>
      <c r="D42" s="194">
        <v>50.9454</v>
      </c>
      <c r="E42" s="239"/>
      <c r="F42" s="239"/>
      <c r="G42" s="240">
        <f t="shared" si="5"/>
        <v>50.9454</v>
      </c>
      <c r="H42" s="241">
        <v>54.3099</v>
      </c>
      <c r="I42" s="194">
        <v>1</v>
      </c>
      <c r="J42" s="239">
        <v>1</v>
      </c>
      <c r="K42" s="240">
        <f t="shared" si="6"/>
        <v>76.3099</v>
      </c>
      <c r="L42" s="210">
        <f t="shared" si="7"/>
        <v>50.9454</v>
      </c>
      <c r="M42" s="210">
        <f t="shared" si="4"/>
        <v>50.9454</v>
      </c>
      <c r="N42" s="193">
        <f t="shared" si="8"/>
        <v>100.77082523642964</v>
      </c>
      <c r="O42" s="231">
        <f t="shared" si="9"/>
        <v>8</v>
      </c>
    </row>
    <row r="43" spans="2:15" ht="15">
      <c r="B43" s="173">
        <f t="shared" si="3"/>
        <v>14</v>
      </c>
      <c r="C43" s="248" t="str">
        <f t="shared" si="3"/>
        <v>Curtin University of Technology</v>
      </c>
      <c r="D43" s="194">
        <v>75.1865</v>
      </c>
      <c r="E43" s="239">
        <v>1</v>
      </c>
      <c r="F43" s="239"/>
      <c r="G43" s="240">
        <f t="shared" si="5"/>
        <v>77.1865</v>
      </c>
      <c r="H43" s="241"/>
      <c r="I43" s="194"/>
      <c r="J43" s="239"/>
      <c r="K43" s="240">
        <f t="shared" si="6"/>
      </c>
      <c r="L43" s="210">
        <f t="shared" si="7"/>
        <v>77.1865</v>
      </c>
      <c r="M43" s="210">
        <f t="shared" si="4"/>
        <v>55.736</v>
      </c>
      <c r="N43" s="193">
        <f t="shared" si="8"/>
        <v>43.76161726711652</v>
      </c>
      <c r="O43" s="231">
        <f t="shared" si="9"/>
        <v>16</v>
      </c>
    </row>
    <row r="44" spans="2:15" ht="15">
      <c r="B44" s="173">
        <f t="shared" si="3"/>
        <v>18</v>
      </c>
      <c r="C44" s="248" t="str">
        <f t="shared" si="3"/>
        <v>University of Melbourne</v>
      </c>
      <c r="D44" s="194">
        <v>54.4967</v>
      </c>
      <c r="E44" s="239"/>
      <c r="F44" s="239"/>
      <c r="G44" s="240">
        <f t="shared" si="5"/>
        <v>54.4967</v>
      </c>
      <c r="H44" s="241">
        <v>54.3049</v>
      </c>
      <c r="I44" s="194"/>
      <c r="J44" s="239"/>
      <c r="K44" s="240">
        <f t="shared" si="6"/>
        <v>54.3049</v>
      </c>
      <c r="L44" s="210">
        <f t="shared" si="7"/>
        <v>54.3049</v>
      </c>
      <c r="M44" s="210">
        <f t="shared" si="4"/>
        <v>53.4033</v>
      </c>
      <c r="N44" s="193">
        <f t="shared" si="8"/>
        <v>70.24362258512119</v>
      </c>
      <c r="O44" s="231">
        <f t="shared" si="9"/>
        <v>13</v>
      </c>
    </row>
    <row r="45" spans="2:15" s="339" customFormat="1" ht="15">
      <c r="B45" s="332">
        <f t="shared" si="3"/>
        <v>19</v>
      </c>
      <c r="C45" s="333" t="str">
        <f t="shared" si="3"/>
        <v>University of Braunschweig, GERMANY</v>
      </c>
      <c r="D45" s="341"/>
      <c r="E45" s="342"/>
      <c r="F45" s="342"/>
      <c r="G45" s="341">
        <f t="shared" si="5"/>
      </c>
      <c r="H45" s="343"/>
      <c r="I45" s="341"/>
      <c r="J45" s="342"/>
      <c r="K45" s="341">
        <f t="shared" si="6"/>
      </c>
      <c r="L45" s="337">
        <f t="shared" si="7"/>
      </c>
      <c r="M45" s="337">
        <f t="shared" si="4"/>
      </c>
      <c r="N45" s="193">
        <f t="shared" si="8"/>
      </c>
      <c r="O45" s="341">
        <f t="shared" si="9"/>
      </c>
    </row>
    <row r="46" spans="2:15" ht="15">
      <c r="B46" s="173">
        <f t="shared" si="3"/>
        <v>21</v>
      </c>
      <c r="C46" s="248" t="str">
        <f t="shared" si="3"/>
        <v>Tokyo Denki University, JAPAN </v>
      </c>
      <c r="D46" s="194"/>
      <c r="E46" s="239"/>
      <c r="F46" s="239"/>
      <c r="G46" s="240">
        <f t="shared" si="5"/>
      </c>
      <c r="H46" s="241"/>
      <c r="I46" s="194"/>
      <c r="J46" s="239"/>
      <c r="K46" s="240">
        <f t="shared" si="6"/>
      </c>
      <c r="L46" s="210">
        <f t="shared" si="7"/>
      </c>
      <c r="M46" s="210">
        <f t="shared" si="4"/>
        <v>55.155</v>
      </c>
      <c r="N46" s="193">
        <f t="shared" si="8"/>
        <v>50.14794669567579</v>
      </c>
      <c r="O46" s="231">
        <f t="shared" si="9"/>
        <v>15</v>
      </c>
    </row>
    <row r="47" spans="2:15" ht="15">
      <c r="B47" s="173">
        <f t="shared" si="3"/>
        <v>23</v>
      </c>
      <c r="C47" s="248" t="str">
        <f t="shared" si="3"/>
        <v>Deakin University</v>
      </c>
      <c r="D47" s="194">
        <v>63.3913</v>
      </c>
      <c r="E47" s="239">
        <v>2</v>
      </c>
      <c r="F47" s="239"/>
      <c r="G47" s="240">
        <f t="shared" si="5"/>
        <v>67.3913</v>
      </c>
      <c r="H47" s="241">
        <v>56.4712</v>
      </c>
      <c r="I47" s="194"/>
      <c r="J47" s="239"/>
      <c r="K47" s="240">
        <f t="shared" si="6"/>
        <v>56.4712</v>
      </c>
      <c r="L47" s="210">
        <f t="shared" si="7"/>
        <v>56.4712</v>
      </c>
      <c r="M47" s="210">
        <f t="shared" si="4"/>
        <v>56.4712</v>
      </c>
      <c r="N47" s="193">
        <f t="shared" si="8"/>
        <v>35.86868173511459</v>
      </c>
      <c r="O47" s="231">
        <f t="shared" si="9"/>
        <v>17</v>
      </c>
    </row>
    <row r="48" spans="2:15" ht="15">
      <c r="B48" s="173">
        <f t="shared" si="3"/>
        <v>31</v>
      </c>
      <c r="C48" s="248" t="str">
        <f t="shared" si="3"/>
        <v>Georgia Institute of Technology, USA</v>
      </c>
      <c r="D48" s="194">
        <v>49.4634</v>
      </c>
      <c r="E48" s="239"/>
      <c r="F48" s="239"/>
      <c r="G48" s="240">
        <f t="shared" si="5"/>
        <v>49.4634</v>
      </c>
      <c r="H48" s="241">
        <v>49.5924</v>
      </c>
      <c r="I48" s="194">
        <v>1</v>
      </c>
      <c r="J48" s="239"/>
      <c r="K48" s="240">
        <f t="shared" si="6"/>
        <v>51.5924</v>
      </c>
      <c r="L48" s="210">
        <f t="shared" si="7"/>
        <v>49.4634</v>
      </c>
      <c r="M48" s="210">
        <f t="shared" si="4"/>
        <v>49.149</v>
      </c>
      <c r="N48" s="193">
        <f t="shared" si="8"/>
        <v>125.01342855398887</v>
      </c>
      <c r="O48" s="231">
        <f t="shared" si="9"/>
        <v>6</v>
      </c>
    </row>
    <row r="49" spans="2:15" ht="15">
      <c r="B49" s="173">
        <f t="shared" si="3"/>
        <v>35</v>
      </c>
      <c r="C49" s="248" t="str">
        <f t="shared" si="3"/>
        <v>Chalmers University, SWEDEN </v>
      </c>
      <c r="D49" s="194">
        <v>55.6765</v>
      </c>
      <c r="E49" s="239"/>
      <c r="F49" s="239"/>
      <c r="G49" s="240">
        <f t="shared" si="5"/>
        <v>55.6765</v>
      </c>
      <c r="H49" s="241">
        <v>49.0314</v>
      </c>
      <c r="I49" s="194"/>
      <c r="J49" s="239"/>
      <c r="K49" s="240">
        <f t="shared" si="6"/>
        <v>49.0314</v>
      </c>
      <c r="L49" s="210">
        <f t="shared" si="7"/>
        <v>49.0314</v>
      </c>
      <c r="M49" s="210">
        <f t="shared" si="4"/>
        <v>49.0314</v>
      </c>
      <c r="N49" s="193">
        <f t="shared" si="8"/>
        <v>126.6624040920717</v>
      </c>
      <c r="O49" s="231">
        <f t="shared" si="9"/>
        <v>5</v>
      </c>
    </row>
    <row r="50" spans="2:15" ht="15">
      <c r="B50" s="173">
        <f t="shared" si="3"/>
        <v>41</v>
      </c>
      <c r="C50" s="248" t="str">
        <f t="shared" si="3"/>
        <v>University of Queensland</v>
      </c>
      <c r="D50" s="194">
        <v>52.8325</v>
      </c>
      <c r="E50" s="239"/>
      <c r="F50" s="239"/>
      <c r="G50" s="240">
        <f t="shared" si="5"/>
        <v>52.8325</v>
      </c>
      <c r="H50" s="241">
        <v>52.1437</v>
      </c>
      <c r="I50" s="194"/>
      <c r="J50" s="239"/>
      <c r="K50" s="240">
        <f t="shared" si="6"/>
        <v>52.1437</v>
      </c>
      <c r="L50" s="210">
        <f t="shared" si="7"/>
        <v>52.1437</v>
      </c>
      <c r="M50" s="210">
        <f t="shared" si="4"/>
        <v>52.1437</v>
      </c>
      <c r="N50" s="193">
        <f t="shared" si="8"/>
        <v>85.52838118507127</v>
      </c>
      <c r="O50" s="231">
        <f t="shared" si="9"/>
        <v>12</v>
      </c>
    </row>
    <row r="51" spans="2:15" s="339" customFormat="1" ht="15">
      <c r="B51" s="332">
        <f t="shared" si="3"/>
        <v>44</v>
      </c>
      <c r="C51" s="333" t="str">
        <f t="shared" si="3"/>
        <v>University of Newcastle</v>
      </c>
      <c r="D51" s="341"/>
      <c r="E51" s="342"/>
      <c r="F51" s="342"/>
      <c r="G51" s="341">
        <f t="shared" si="5"/>
      </c>
      <c r="H51" s="343"/>
      <c r="I51" s="341"/>
      <c r="J51" s="342"/>
      <c r="K51" s="341">
        <f t="shared" si="6"/>
      </c>
      <c r="L51" s="337">
        <f t="shared" si="7"/>
      </c>
      <c r="M51" s="337">
        <f t="shared" si="4"/>
      </c>
      <c r="N51" s="193">
        <f t="shared" si="8"/>
      </c>
      <c r="O51" s="341">
        <f t="shared" si="9"/>
      </c>
    </row>
    <row r="52" spans="2:15" ht="15">
      <c r="B52" s="173">
        <f t="shared" si="3"/>
        <v>45</v>
      </c>
      <c r="C52" s="248" t="str">
        <f t="shared" si="3"/>
        <v>RMIT University</v>
      </c>
      <c r="D52" s="194">
        <v>49.3411</v>
      </c>
      <c r="E52" s="239"/>
      <c r="F52" s="239"/>
      <c r="G52" s="240">
        <f t="shared" si="5"/>
        <v>49.3411</v>
      </c>
      <c r="H52" s="241">
        <v>47.6352</v>
      </c>
      <c r="I52" s="194"/>
      <c r="J52" s="239"/>
      <c r="K52" s="240">
        <f t="shared" si="6"/>
        <v>47.6352</v>
      </c>
      <c r="L52" s="210">
        <f t="shared" si="7"/>
        <v>47.6352</v>
      </c>
      <c r="M52" s="210">
        <f t="shared" si="4"/>
        <v>47.6352</v>
      </c>
      <c r="N52" s="193">
        <f t="shared" si="8"/>
        <v>146.86193193268855</v>
      </c>
      <c r="O52" s="231">
        <f t="shared" si="9"/>
        <v>2</v>
      </c>
    </row>
    <row r="53" spans="2:15" ht="15">
      <c r="B53" s="173">
        <f t="shared" si="3"/>
        <v>63</v>
      </c>
      <c r="C53" s="248" t="str">
        <f t="shared" si="3"/>
        <v>University of NSW</v>
      </c>
      <c r="D53" s="194">
        <v>60.1612</v>
      </c>
      <c r="E53" s="239"/>
      <c r="F53" s="239"/>
      <c r="G53" s="240">
        <f t="shared" si="5"/>
        <v>60.1612</v>
      </c>
      <c r="H53" s="241">
        <v>56.2809</v>
      </c>
      <c r="I53" s="194">
        <v>1</v>
      </c>
      <c r="J53" s="239">
        <v>1</v>
      </c>
      <c r="K53" s="240">
        <f t="shared" si="6"/>
        <v>78.2809</v>
      </c>
      <c r="L53" s="210">
        <f t="shared" si="7"/>
        <v>60.1612</v>
      </c>
      <c r="M53" s="210">
        <f t="shared" si="4"/>
        <v>51.2236</v>
      </c>
      <c r="N53" s="193">
        <f t="shared" si="8"/>
        <v>97.16854145354885</v>
      </c>
      <c r="O53" s="231">
        <f t="shared" si="9"/>
        <v>9</v>
      </c>
    </row>
    <row r="54" spans="2:15" ht="15.75" thickBot="1">
      <c r="B54" s="179">
        <f t="shared" si="3"/>
        <v>66</v>
      </c>
      <c r="C54" s="249" t="str">
        <f t="shared" si="3"/>
        <v>Monash University</v>
      </c>
      <c r="D54" s="201">
        <v>48.691</v>
      </c>
      <c r="E54" s="245">
        <v>1</v>
      </c>
      <c r="F54" s="245"/>
      <c r="G54" s="235">
        <f t="shared" si="5"/>
        <v>50.691</v>
      </c>
      <c r="H54" s="246">
        <v>47.4254</v>
      </c>
      <c r="I54" s="201"/>
      <c r="J54" s="245"/>
      <c r="K54" s="235">
        <f t="shared" si="6"/>
        <v>47.4254</v>
      </c>
      <c r="L54" s="221">
        <f t="shared" si="7"/>
        <v>47.4254</v>
      </c>
      <c r="M54" s="221">
        <f t="shared" si="4"/>
        <v>47.4254</v>
      </c>
      <c r="N54" s="200">
        <f t="shared" si="8"/>
        <v>150</v>
      </c>
      <c r="O54" s="233">
        <f t="shared" si="9"/>
        <v>1</v>
      </c>
    </row>
    <row r="55" spans="2:23" ht="15">
      <c r="B55" s="99"/>
      <c r="C55" s="6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29"/>
      <c r="U55" s="29"/>
      <c r="V55" s="29"/>
      <c r="W55" s="29"/>
    </row>
    <row r="56" spans="2:23" ht="15">
      <c r="B56" s="99"/>
      <c r="C56" s="6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29"/>
      <c r="U56" s="29"/>
      <c r="V56" s="29"/>
      <c r="W56" s="29"/>
    </row>
    <row r="57" spans="2:23" ht="15">
      <c r="B57" s="99"/>
      <c r="C57" s="69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29"/>
      <c r="U57" s="29"/>
      <c r="V57" s="29"/>
      <c r="W57" s="29"/>
    </row>
    <row r="58" spans="2:23" ht="15.75" thickBot="1">
      <c r="B58" s="34"/>
      <c r="C58" s="34"/>
      <c r="D58" s="35"/>
      <c r="E58" s="35"/>
      <c r="F58" s="35"/>
      <c r="G58" s="35"/>
      <c r="H58" s="35"/>
      <c r="I58" s="35"/>
      <c r="J58" s="35"/>
      <c r="K58" s="34"/>
      <c r="L58" s="34"/>
      <c r="M58" s="34"/>
      <c r="N58" s="34"/>
      <c r="O58" s="52"/>
      <c r="P58" s="52"/>
      <c r="Q58" s="34"/>
      <c r="R58" s="34"/>
      <c r="S58" s="34"/>
      <c r="T58" s="27"/>
      <c r="U58" s="35"/>
      <c r="V58" s="34"/>
      <c r="W58" s="34"/>
    </row>
    <row r="59" spans="13:14" ht="13.5" thickBot="1">
      <c r="M59" s="39" t="s">
        <v>20</v>
      </c>
      <c r="N59" s="56">
        <f>MIN(M34:M54)</f>
        <v>47.4254</v>
      </c>
    </row>
    <row r="60" spans="2:14" ht="28.5" thickBot="1">
      <c r="B60" s="152" t="s">
        <v>135</v>
      </c>
      <c r="C60" s="153"/>
      <c r="D60" s="153"/>
      <c r="E60" s="154"/>
      <c r="F60" s="93"/>
      <c r="G60" s="93" t="s">
        <v>136</v>
      </c>
      <c r="H60" s="93"/>
      <c r="I60" s="93"/>
      <c r="M60" s="39" t="s">
        <v>31</v>
      </c>
      <c r="N60" s="56">
        <f>1.25*N59</f>
        <v>59.28175</v>
      </c>
    </row>
    <row r="61" spans="2:5" ht="12.75">
      <c r="B61" s="40"/>
      <c r="C61" s="40"/>
      <c r="D61" s="42" t="s">
        <v>0</v>
      </c>
      <c r="E61" s="45"/>
    </row>
    <row r="62" spans="2:5" ht="15.75">
      <c r="B62" s="8" t="s">
        <v>6</v>
      </c>
      <c r="C62" s="8" t="s">
        <v>93</v>
      </c>
      <c r="D62" s="47" t="s">
        <v>2</v>
      </c>
      <c r="E62" s="46" t="s">
        <v>67</v>
      </c>
    </row>
    <row r="63" spans="2:5" ht="15.75">
      <c r="B63" s="8" t="s">
        <v>7</v>
      </c>
      <c r="C63" s="92"/>
      <c r="D63" s="47" t="s">
        <v>3</v>
      </c>
      <c r="E63" s="46"/>
    </row>
    <row r="64" spans="2:5" ht="15.75" thickBot="1">
      <c r="B64" s="30"/>
      <c r="C64" s="30"/>
      <c r="D64" s="47" t="s">
        <v>4</v>
      </c>
      <c r="E64" s="50"/>
    </row>
    <row r="65" spans="2:5" ht="15">
      <c r="B65" s="23">
        <f aca="true" t="shared" si="10" ref="B65:C85">B7</f>
        <v>1</v>
      </c>
      <c r="C65" s="258" t="str">
        <f t="shared" si="10"/>
        <v>University of Wollongong</v>
      </c>
      <c r="D65" s="51">
        <f>N34</f>
        <v>131.21678009423223</v>
      </c>
      <c r="E65" s="100">
        <f>IF(D65="","",RANK(D65,$D$65:$D$85))</f>
        <v>3</v>
      </c>
    </row>
    <row r="66" spans="2:5" ht="15">
      <c r="B66" s="26">
        <f t="shared" si="10"/>
        <v>2</v>
      </c>
      <c r="C66" s="259" t="str">
        <f t="shared" si="10"/>
        <v>University of Western Australia</v>
      </c>
      <c r="D66" s="37">
        <f aca="true" t="shared" si="11" ref="D66:D85">N35</f>
        <v>90.12547222286597</v>
      </c>
      <c r="E66" s="100">
        <f aca="true" t="shared" si="12" ref="E66:E85">IF(D66="","",RANK(D66,$D$65:$D$85))</f>
        <v>10</v>
      </c>
    </row>
    <row r="67" spans="2:5" ht="15">
      <c r="B67" s="26">
        <f t="shared" si="10"/>
        <v>3</v>
      </c>
      <c r="C67" s="259" t="str">
        <f t="shared" si="10"/>
        <v>University of Sydney</v>
      </c>
      <c r="D67" s="37">
        <f t="shared" si="11"/>
        <v>60.27517089614279</v>
      </c>
      <c r="E67" s="100">
        <f t="shared" si="12"/>
        <v>14</v>
      </c>
    </row>
    <row r="68" spans="2:5" ht="15">
      <c r="B68" s="26">
        <f t="shared" si="10"/>
        <v>4</v>
      </c>
      <c r="C68" s="259" t="str">
        <f t="shared" si="10"/>
        <v>Swinburne University of Technology</v>
      </c>
      <c r="D68" s="37">
        <f t="shared" si="11"/>
        <v>129.31501492525086</v>
      </c>
      <c r="E68" s="100">
        <f t="shared" si="12"/>
        <v>4</v>
      </c>
    </row>
    <row r="69" spans="2:5" ht="15">
      <c r="B69" s="26">
        <f t="shared" si="10"/>
        <v>5</v>
      </c>
      <c r="C69" s="259" t="str">
        <f t="shared" si="10"/>
        <v>Rochester Institute of Technology, USA</v>
      </c>
      <c r="D69" s="37">
        <f t="shared" si="11"/>
        <v>86.31725911717098</v>
      </c>
      <c r="E69" s="100">
        <f t="shared" si="12"/>
        <v>11</v>
      </c>
    </row>
    <row r="70" spans="2:5" ht="15">
      <c r="B70" s="26">
        <f t="shared" si="10"/>
        <v>6</v>
      </c>
      <c r="C70" s="259" t="str">
        <f t="shared" si="10"/>
        <v>Australian National University &amp; Canberra Institute of Technology</v>
      </c>
      <c r="D70" s="37">
        <f t="shared" si="11"/>
      </c>
      <c r="E70" s="100">
        <f t="shared" si="12"/>
      </c>
    </row>
    <row r="71" spans="2:5" ht="15">
      <c r="B71" s="26">
        <f t="shared" si="10"/>
        <v>8</v>
      </c>
      <c r="C71" s="259" t="str">
        <f t="shared" si="10"/>
        <v>University of Technology, Sydney</v>
      </c>
      <c r="D71" s="37">
        <f t="shared" si="11"/>
        <v>7.5</v>
      </c>
      <c r="E71" s="100">
        <f t="shared" si="12"/>
        <v>18</v>
      </c>
    </row>
    <row r="72" spans="2:5" ht="15">
      <c r="B72" s="26">
        <f t="shared" si="10"/>
        <v>9</v>
      </c>
      <c r="C72" s="259" t="str">
        <f t="shared" si="10"/>
        <v>The University of Adelaide</v>
      </c>
      <c r="D72" s="37">
        <f t="shared" si="11"/>
        <v>112.33209379980265</v>
      </c>
      <c r="E72" s="100">
        <f t="shared" si="12"/>
        <v>7</v>
      </c>
    </row>
    <row r="73" spans="2:5" ht="15">
      <c r="B73" s="26">
        <f t="shared" si="10"/>
        <v>11</v>
      </c>
      <c r="C73" s="259" t="str">
        <f t="shared" si="10"/>
        <v>Auburn University, USA</v>
      </c>
      <c r="D73" s="37">
        <f t="shared" si="11"/>
        <v>100.77082523642964</v>
      </c>
      <c r="E73" s="100">
        <f t="shared" si="12"/>
        <v>8</v>
      </c>
    </row>
    <row r="74" spans="2:5" ht="15">
      <c r="B74" s="26">
        <f t="shared" si="10"/>
        <v>14</v>
      </c>
      <c r="C74" s="259" t="str">
        <f t="shared" si="10"/>
        <v>Curtin University of Technology</v>
      </c>
      <c r="D74" s="37">
        <f t="shared" si="11"/>
        <v>43.76161726711652</v>
      </c>
      <c r="E74" s="100">
        <f t="shared" si="12"/>
        <v>16</v>
      </c>
    </row>
    <row r="75" spans="2:5" ht="15">
      <c r="B75" s="26">
        <f t="shared" si="10"/>
        <v>18</v>
      </c>
      <c r="C75" s="259" t="str">
        <f t="shared" si="10"/>
        <v>University of Melbourne</v>
      </c>
      <c r="D75" s="37">
        <f t="shared" si="11"/>
        <v>70.24362258512119</v>
      </c>
      <c r="E75" s="100">
        <f t="shared" si="12"/>
        <v>13</v>
      </c>
    </row>
    <row r="76" spans="2:5" ht="15">
      <c r="B76" s="26">
        <f t="shared" si="10"/>
        <v>19</v>
      </c>
      <c r="C76" s="259" t="str">
        <f t="shared" si="10"/>
        <v>University of Braunschweig, GERMANY</v>
      </c>
      <c r="D76" s="37">
        <f t="shared" si="11"/>
      </c>
      <c r="E76" s="100">
        <f t="shared" si="12"/>
      </c>
    </row>
    <row r="77" spans="2:5" ht="15">
      <c r="B77" s="26">
        <f t="shared" si="10"/>
        <v>21</v>
      </c>
      <c r="C77" s="259" t="str">
        <f t="shared" si="10"/>
        <v>Tokyo Denki University, JAPAN </v>
      </c>
      <c r="D77" s="37">
        <f t="shared" si="11"/>
        <v>50.14794669567579</v>
      </c>
      <c r="E77" s="100">
        <f t="shared" si="12"/>
        <v>15</v>
      </c>
    </row>
    <row r="78" spans="2:5" ht="15">
      <c r="B78" s="26">
        <f t="shared" si="10"/>
        <v>23</v>
      </c>
      <c r="C78" s="259" t="str">
        <f t="shared" si="10"/>
        <v>Deakin University</v>
      </c>
      <c r="D78" s="37">
        <f t="shared" si="11"/>
        <v>35.86868173511459</v>
      </c>
      <c r="E78" s="100">
        <f t="shared" si="12"/>
        <v>17</v>
      </c>
    </row>
    <row r="79" spans="2:5" ht="15">
      <c r="B79" s="26">
        <f t="shared" si="10"/>
        <v>31</v>
      </c>
      <c r="C79" s="259" t="str">
        <f t="shared" si="10"/>
        <v>Georgia Institute of Technology, USA</v>
      </c>
      <c r="D79" s="37">
        <f t="shared" si="11"/>
        <v>125.01342855398887</v>
      </c>
      <c r="E79" s="100">
        <f t="shared" si="12"/>
        <v>6</v>
      </c>
    </row>
    <row r="80" spans="2:5" ht="15">
      <c r="B80" s="26">
        <f t="shared" si="10"/>
        <v>35</v>
      </c>
      <c r="C80" s="259" t="str">
        <f t="shared" si="10"/>
        <v>Chalmers University, SWEDEN </v>
      </c>
      <c r="D80" s="37">
        <f t="shared" si="11"/>
        <v>126.6624040920717</v>
      </c>
      <c r="E80" s="100">
        <f t="shared" si="12"/>
        <v>5</v>
      </c>
    </row>
    <row r="81" spans="2:5" ht="15">
      <c r="B81" s="26">
        <f t="shared" si="10"/>
        <v>41</v>
      </c>
      <c r="C81" s="259" t="str">
        <f t="shared" si="10"/>
        <v>University of Queensland</v>
      </c>
      <c r="D81" s="37">
        <f t="shared" si="11"/>
        <v>85.52838118507127</v>
      </c>
      <c r="E81" s="100">
        <f t="shared" si="12"/>
        <v>12</v>
      </c>
    </row>
    <row r="82" spans="2:5" ht="15">
      <c r="B82" s="26">
        <f t="shared" si="10"/>
        <v>44</v>
      </c>
      <c r="C82" s="259" t="str">
        <f t="shared" si="10"/>
        <v>University of Newcastle</v>
      </c>
      <c r="D82" s="37">
        <f t="shared" si="11"/>
      </c>
      <c r="E82" s="100">
        <f t="shared" si="12"/>
      </c>
    </row>
    <row r="83" spans="2:5" ht="15">
      <c r="B83" s="26">
        <f t="shared" si="10"/>
        <v>45</v>
      </c>
      <c r="C83" s="259" t="str">
        <f t="shared" si="10"/>
        <v>RMIT University</v>
      </c>
      <c r="D83" s="37">
        <f t="shared" si="11"/>
        <v>146.86193193268855</v>
      </c>
      <c r="E83" s="100">
        <f t="shared" si="12"/>
        <v>2</v>
      </c>
    </row>
    <row r="84" spans="2:5" ht="15">
      <c r="B84" s="26">
        <f t="shared" si="10"/>
        <v>63</v>
      </c>
      <c r="C84" s="259" t="str">
        <f t="shared" si="10"/>
        <v>University of NSW</v>
      </c>
      <c r="D84" s="37">
        <f t="shared" si="11"/>
        <v>97.16854145354885</v>
      </c>
      <c r="E84" s="100">
        <f t="shared" si="12"/>
        <v>9</v>
      </c>
    </row>
    <row r="85" spans="2:5" ht="15.75" thickBot="1">
      <c r="B85" s="30">
        <f t="shared" si="10"/>
        <v>66</v>
      </c>
      <c r="C85" s="260" t="str">
        <f t="shared" si="10"/>
        <v>Monash University</v>
      </c>
      <c r="D85" s="33">
        <f t="shared" si="11"/>
        <v>150</v>
      </c>
      <c r="E85" s="101">
        <f t="shared" si="12"/>
        <v>1</v>
      </c>
    </row>
    <row r="86" spans="2:5" ht="15">
      <c r="B86" s="99"/>
      <c r="C86" s="99"/>
      <c r="D86" s="29"/>
      <c r="E86" s="257"/>
    </row>
    <row r="87" spans="2:5" ht="15">
      <c r="B87" s="99"/>
      <c r="C87" s="99"/>
      <c r="D87" s="29"/>
      <c r="E87" s="257"/>
    </row>
    <row r="88" spans="2:5" ht="15.75" thickBot="1">
      <c r="B88" s="99"/>
      <c r="C88" s="99"/>
      <c r="D88" s="29"/>
      <c r="E88" s="257"/>
    </row>
    <row r="89" spans="2:9" ht="28.5" thickBot="1">
      <c r="B89" s="270" t="s">
        <v>134</v>
      </c>
      <c r="C89" s="271"/>
      <c r="D89" s="271"/>
      <c r="E89" s="272"/>
      <c r="F89" s="93"/>
      <c r="G89" s="93" t="s">
        <v>132</v>
      </c>
      <c r="H89" s="93"/>
      <c r="I89" s="93" t="s">
        <v>133</v>
      </c>
    </row>
    <row r="90" spans="2:5" ht="12.75">
      <c r="B90" s="273"/>
      <c r="C90" s="273"/>
      <c r="D90" s="274" t="s">
        <v>0</v>
      </c>
      <c r="E90" s="274"/>
    </row>
    <row r="91" spans="2:5" ht="15.75">
      <c r="B91" s="275" t="s">
        <v>6</v>
      </c>
      <c r="C91" s="275" t="s">
        <v>93</v>
      </c>
      <c r="D91" s="276" t="s">
        <v>2</v>
      </c>
      <c r="E91" s="276" t="s">
        <v>67</v>
      </c>
    </row>
    <row r="92" spans="2:5" ht="15.75">
      <c r="B92" s="275" t="s">
        <v>7</v>
      </c>
      <c r="C92" s="277"/>
      <c r="D92" s="276" t="s">
        <v>3</v>
      </c>
      <c r="E92" s="276"/>
    </row>
    <row r="93" spans="2:5" ht="15.75" customHeight="1" thickBot="1">
      <c r="B93" s="278"/>
      <c r="C93" s="278"/>
      <c r="D93" s="279" t="s">
        <v>4</v>
      </c>
      <c r="E93" s="279"/>
    </row>
    <row r="94" spans="2:5" ht="15">
      <c r="B94" s="261">
        <f aca="true" t="shared" si="13" ref="B94:E114">B65</f>
        <v>1</v>
      </c>
      <c r="C94" s="264" t="str">
        <f t="shared" si="13"/>
        <v>University of Wollongong</v>
      </c>
      <c r="D94" s="189">
        <f t="shared" si="13"/>
        <v>131.21678009423223</v>
      </c>
      <c r="E94" s="267">
        <f t="shared" si="13"/>
        <v>3</v>
      </c>
    </row>
    <row r="95" spans="2:5" ht="15">
      <c r="B95" s="262">
        <f t="shared" si="13"/>
        <v>2</v>
      </c>
      <c r="C95" s="265" t="str">
        <f t="shared" si="13"/>
        <v>University of Western Australia</v>
      </c>
      <c r="D95" s="193">
        <f t="shared" si="13"/>
        <v>90.12547222286597</v>
      </c>
      <c r="E95" s="268">
        <f t="shared" si="13"/>
        <v>10</v>
      </c>
    </row>
    <row r="96" spans="2:5" ht="15">
      <c r="B96" s="262">
        <f t="shared" si="13"/>
        <v>3</v>
      </c>
      <c r="C96" s="265" t="str">
        <f t="shared" si="13"/>
        <v>University of Sydney</v>
      </c>
      <c r="D96" s="193">
        <f t="shared" si="13"/>
        <v>60.27517089614279</v>
      </c>
      <c r="E96" s="268">
        <f t="shared" si="13"/>
        <v>14</v>
      </c>
    </row>
    <row r="97" spans="2:5" ht="15">
      <c r="B97" s="262">
        <f t="shared" si="13"/>
        <v>4</v>
      </c>
      <c r="C97" s="265" t="str">
        <f t="shared" si="13"/>
        <v>Swinburne University of Technology</v>
      </c>
      <c r="D97" s="193">
        <f t="shared" si="13"/>
        <v>129.31501492525086</v>
      </c>
      <c r="E97" s="268">
        <f t="shared" si="13"/>
        <v>4</v>
      </c>
    </row>
    <row r="98" spans="2:5" ht="15">
      <c r="B98" s="262">
        <f t="shared" si="13"/>
        <v>5</v>
      </c>
      <c r="C98" s="265" t="str">
        <f t="shared" si="13"/>
        <v>Rochester Institute of Technology, USA</v>
      </c>
      <c r="D98" s="193">
        <f t="shared" si="13"/>
        <v>86.31725911717098</v>
      </c>
      <c r="E98" s="268">
        <f t="shared" si="13"/>
        <v>11</v>
      </c>
    </row>
    <row r="99" spans="2:5" ht="15">
      <c r="B99" s="262">
        <f t="shared" si="13"/>
        <v>6</v>
      </c>
      <c r="C99" s="265" t="str">
        <f t="shared" si="13"/>
        <v>Australian National University &amp; Canberra Institute of Technology</v>
      </c>
      <c r="D99" s="193">
        <f t="shared" si="13"/>
      </c>
      <c r="E99" s="268">
        <f t="shared" si="13"/>
      </c>
    </row>
    <row r="100" spans="2:5" ht="15">
      <c r="B100" s="262">
        <f t="shared" si="13"/>
        <v>8</v>
      </c>
      <c r="C100" s="265" t="str">
        <f t="shared" si="13"/>
        <v>University of Technology, Sydney</v>
      </c>
      <c r="D100" s="193">
        <f t="shared" si="13"/>
        <v>7.5</v>
      </c>
      <c r="E100" s="268">
        <f t="shared" si="13"/>
        <v>18</v>
      </c>
    </row>
    <row r="101" spans="2:5" ht="15">
      <c r="B101" s="262">
        <f t="shared" si="13"/>
        <v>9</v>
      </c>
      <c r="C101" s="265" t="str">
        <f t="shared" si="13"/>
        <v>The University of Adelaide</v>
      </c>
      <c r="D101" s="193">
        <f t="shared" si="13"/>
        <v>112.33209379980265</v>
      </c>
      <c r="E101" s="268">
        <f t="shared" si="13"/>
        <v>7</v>
      </c>
    </row>
    <row r="102" spans="2:5" ht="15">
      <c r="B102" s="262">
        <f t="shared" si="13"/>
        <v>11</v>
      </c>
      <c r="C102" s="265" t="str">
        <f t="shared" si="13"/>
        <v>Auburn University, USA</v>
      </c>
      <c r="D102" s="193">
        <f t="shared" si="13"/>
        <v>100.77082523642964</v>
      </c>
      <c r="E102" s="268">
        <f t="shared" si="13"/>
        <v>8</v>
      </c>
    </row>
    <row r="103" spans="2:5" ht="15">
      <c r="B103" s="262">
        <f t="shared" si="13"/>
        <v>14</v>
      </c>
      <c r="C103" s="265" t="str">
        <f t="shared" si="13"/>
        <v>Curtin University of Technology</v>
      </c>
      <c r="D103" s="193">
        <f t="shared" si="13"/>
        <v>43.76161726711652</v>
      </c>
      <c r="E103" s="268">
        <f t="shared" si="13"/>
        <v>16</v>
      </c>
    </row>
    <row r="104" spans="2:5" ht="15">
      <c r="B104" s="262">
        <f t="shared" si="13"/>
        <v>18</v>
      </c>
      <c r="C104" s="265" t="str">
        <f t="shared" si="13"/>
        <v>University of Melbourne</v>
      </c>
      <c r="D104" s="193">
        <f t="shared" si="13"/>
        <v>70.24362258512119</v>
      </c>
      <c r="E104" s="268">
        <f t="shared" si="13"/>
        <v>13</v>
      </c>
    </row>
    <row r="105" spans="2:5" ht="15">
      <c r="B105" s="262">
        <f t="shared" si="13"/>
        <v>19</v>
      </c>
      <c r="C105" s="265" t="str">
        <f t="shared" si="13"/>
        <v>University of Braunschweig, GERMANY</v>
      </c>
      <c r="D105" s="193">
        <f t="shared" si="13"/>
      </c>
      <c r="E105" s="268">
        <f t="shared" si="13"/>
      </c>
    </row>
    <row r="106" spans="2:5" ht="15">
      <c r="B106" s="262">
        <f t="shared" si="13"/>
        <v>21</v>
      </c>
      <c r="C106" s="265" t="str">
        <f t="shared" si="13"/>
        <v>Tokyo Denki University, JAPAN </v>
      </c>
      <c r="D106" s="193">
        <f t="shared" si="13"/>
        <v>50.14794669567579</v>
      </c>
      <c r="E106" s="268">
        <f t="shared" si="13"/>
        <v>15</v>
      </c>
    </row>
    <row r="107" spans="2:5" ht="15">
      <c r="B107" s="262">
        <f t="shared" si="13"/>
        <v>23</v>
      </c>
      <c r="C107" s="265" t="str">
        <f t="shared" si="13"/>
        <v>Deakin University</v>
      </c>
      <c r="D107" s="193">
        <f t="shared" si="13"/>
        <v>35.86868173511459</v>
      </c>
      <c r="E107" s="268">
        <f t="shared" si="13"/>
        <v>17</v>
      </c>
    </row>
    <row r="108" spans="2:5" ht="15">
      <c r="B108" s="262">
        <f t="shared" si="13"/>
        <v>31</v>
      </c>
      <c r="C108" s="265" t="str">
        <f t="shared" si="13"/>
        <v>Georgia Institute of Technology, USA</v>
      </c>
      <c r="D108" s="193">
        <f t="shared" si="13"/>
        <v>125.01342855398887</v>
      </c>
      <c r="E108" s="268">
        <f t="shared" si="13"/>
        <v>6</v>
      </c>
    </row>
    <row r="109" spans="2:5" ht="15">
      <c r="B109" s="262">
        <f t="shared" si="13"/>
        <v>35</v>
      </c>
      <c r="C109" s="265" t="str">
        <f t="shared" si="13"/>
        <v>Chalmers University, SWEDEN </v>
      </c>
      <c r="D109" s="193">
        <f t="shared" si="13"/>
        <v>126.6624040920717</v>
      </c>
      <c r="E109" s="268">
        <f t="shared" si="13"/>
        <v>5</v>
      </c>
    </row>
    <row r="110" spans="2:5" ht="15">
      <c r="B110" s="262">
        <f t="shared" si="13"/>
        <v>41</v>
      </c>
      <c r="C110" s="265" t="str">
        <f t="shared" si="13"/>
        <v>University of Queensland</v>
      </c>
      <c r="D110" s="193">
        <f t="shared" si="13"/>
        <v>85.52838118507127</v>
      </c>
      <c r="E110" s="268">
        <f t="shared" si="13"/>
        <v>12</v>
      </c>
    </row>
    <row r="111" spans="2:5" ht="15">
      <c r="B111" s="262">
        <f t="shared" si="13"/>
        <v>44</v>
      </c>
      <c r="C111" s="265" t="str">
        <f t="shared" si="13"/>
        <v>University of Newcastle</v>
      </c>
      <c r="D111" s="193">
        <f t="shared" si="13"/>
      </c>
      <c r="E111" s="268">
        <f t="shared" si="13"/>
      </c>
    </row>
    <row r="112" spans="2:5" ht="15">
      <c r="B112" s="262">
        <f t="shared" si="13"/>
        <v>45</v>
      </c>
      <c r="C112" s="265" t="str">
        <f t="shared" si="13"/>
        <v>RMIT University</v>
      </c>
      <c r="D112" s="193">
        <f t="shared" si="13"/>
        <v>146.86193193268855</v>
      </c>
      <c r="E112" s="268">
        <f t="shared" si="13"/>
        <v>2</v>
      </c>
    </row>
    <row r="113" spans="2:5" ht="15">
      <c r="B113" s="262">
        <f t="shared" si="13"/>
        <v>63</v>
      </c>
      <c r="C113" s="265" t="str">
        <f t="shared" si="13"/>
        <v>University of NSW</v>
      </c>
      <c r="D113" s="193">
        <f t="shared" si="13"/>
        <v>97.16854145354885</v>
      </c>
      <c r="E113" s="268">
        <f t="shared" si="13"/>
        <v>9</v>
      </c>
    </row>
    <row r="114" spans="2:5" ht="15.75" thickBot="1">
      <c r="B114" s="263">
        <f t="shared" si="13"/>
        <v>66</v>
      </c>
      <c r="C114" s="266" t="str">
        <f t="shared" si="13"/>
        <v>Monash University</v>
      </c>
      <c r="D114" s="200">
        <f t="shared" si="13"/>
        <v>150</v>
      </c>
      <c r="E114" s="269">
        <f t="shared" si="13"/>
        <v>1</v>
      </c>
    </row>
  </sheetData>
  <mergeCells count="8">
    <mergeCell ref="D32:G32"/>
    <mergeCell ref="H32:K32"/>
    <mergeCell ref="D30:G31"/>
    <mergeCell ref="H30:K31"/>
    <mergeCell ref="D5:G5"/>
    <mergeCell ref="H5:K5"/>
    <mergeCell ref="D3:G4"/>
    <mergeCell ref="H3:K4"/>
  </mergeCells>
  <conditionalFormatting sqref="O34:O5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2" right="0.23" top="0.66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Aust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FSAE 2003 Scoring</dc:title>
  <dc:subject>FASE 2003</dc:subject>
  <dc:creator>Scott Starkey</dc:creator>
  <cp:keywords/>
  <dc:description/>
  <cp:lastModifiedBy>SAE-A</cp:lastModifiedBy>
  <cp:lastPrinted>2003-12-15T03:40:38Z</cp:lastPrinted>
  <dcterms:created xsi:type="dcterms:W3CDTF">2001-10-25T04:37:29Z</dcterms:created>
  <dcterms:modified xsi:type="dcterms:W3CDTF">2003-12-18T07:46:57Z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-317153918</vt:i4>
  </property>
  <property fmtid="{D5CDD505-2E9C-101B-9397-08002B2CF9AE}" pid="3" name="_EmailSubject">
    <vt:lpwstr>Uh Oh!</vt:lpwstr>
  </property>
  <property fmtid="{D5CDD505-2E9C-101B-9397-08002B2CF9AE}" pid="4" name="_AuthorEmail">
    <vt:lpwstr>ErinH@sae-a.com.au</vt:lpwstr>
  </property>
  <property fmtid="{D5CDD505-2E9C-101B-9397-08002B2CF9AE}" pid="5" name="_AuthorEmailDisplayName">
    <vt:lpwstr>Erin Heasman</vt:lpwstr>
  </property>
  <property fmtid="{D5CDD505-2E9C-101B-9397-08002B2CF9AE}" pid="6" name="_PreviousAdHocReviewCycleID">
    <vt:i4>-317153918</vt:i4>
  </property>
</Properties>
</file>